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via\Downloads\"/>
    </mc:Choice>
  </mc:AlternateContent>
  <xr:revisionPtr revIDLastSave="0" documentId="13_ncr:1_{2CEA06B1-F1E5-416D-9398-B2ED42E16A70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Start here" sheetId="1" r:id="rId1"/>
    <sheet name="Dashboard" sheetId="2" r:id="rId2"/>
    <sheet name="Department view" sheetId="3" r:id="rId3"/>
    <sheet name="Setup" sheetId="4" r:id="rId4"/>
    <sheet name="Strategy" sheetId="5" r:id="rId5"/>
    <sheet name="Cascade" sheetId="6" r:id="rId6"/>
    <sheet name="Measures" sheetId="7" r:id="rId7"/>
    <sheet name="Tracker" sheetId="8" r:id="rId8"/>
    <sheet name="Actions" sheetId="9" r:id="rId9"/>
    <sheet name="Heatmap" sheetId="10" r:id="rId10"/>
    <sheet name="Review log" sheetId="11" r:id="rId11"/>
    <sheet name="Calc" sheetId="12" r:id="rId12"/>
    <sheet name="Lists" sheetId="13" r:id="rId13"/>
  </sheets>
  <definedNames>
    <definedName name="_xlnm._FilterDatabase" localSheetId="9" hidden="1">Heatmap!$A$5:$T$65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64" i="12" l="1"/>
  <c r="A63" i="12"/>
  <c r="I62" i="12"/>
  <c r="M62" i="10" s="1"/>
  <c r="A56" i="12"/>
  <c r="B55" i="12"/>
  <c r="D53" i="12"/>
  <c r="H53" i="10" s="1"/>
  <c r="K52" i="12"/>
  <c r="O52" i="10" s="1"/>
  <c r="A44" i="12"/>
  <c r="A41" i="12"/>
  <c r="D38" i="12"/>
  <c r="H38" i="10" s="1"/>
  <c r="A36" i="12"/>
  <c r="C35" i="12"/>
  <c r="G35" i="10" s="1"/>
  <c r="A35" i="12"/>
  <c r="A34" i="12"/>
  <c r="C31" i="12"/>
  <c r="B31" i="12"/>
  <c r="F31" i="10" s="1"/>
  <c r="L30" i="12"/>
  <c r="P30" i="10" s="1"/>
  <c r="M27" i="12"/>
  <c r="J27" i="12"/>
  <c r="N27" i="10" s="1"/>
  <c r="I27" i="12"/>
  <c r="G27" i="12"/>
  <c r="F27" i="12"/>
  <c r="E27" i="12"/>
  <c r="I27" i="10" s="1"/>
  <c r="D27" i="12"/>
  <c r="H27" i="10" s="1"/>
  <c r="C27" i="12"/>
  <c r="A27" i="12"/>
  <c r="A23" i="12"/>
  <c r="A21" i="12"/>
  <c r="L20" i="12"/>
  <c r="P20" i="10" s="1"/>
  <c r="A20" i="12"/>
  <c r="C19" i="12"/>
  <c r="G19" i="10" s="1"/>
  <c r="B19" i="12"/>
  <c r="F19" i="10" s="1"/>
  <c r="L18" i="12"/>
  <c r="P18" i="10" s="1"/>
  <c r="H18" i="12"/>
  <c r="L18" i="10" s="1"/>
  <c r="L9" i="12"/>
  <c r="P9" i="10" s="1"/>
  <c r="A9" i="12"/>
  <c r="D55" i="11"/>
  <c r="C55" i="11"/>
  <c r="D54" i="11"/>
  <c r="C54" i="11"/>
  <c r="D53" i="11"/>
  <c r="C53" i="11"/>
  <c r="D52" i="11"/>
  <c r="C52" i="11"/>
  <c r="D51" i="11"/>
  <c r="C51" i="11"/>
  <c r="D50" i="11"/>
  <c r="C50" i="11"/>
  <c r="D49" i="11"/>
  <c r="C49" i="11"/>
  <c r="D48" i="11"/>
  <c r="C48" i="11"/>
  <c r="D47" i="11"/>
  <c r="C47" i="11"/>
  <c r="D46" i="11"/>
  <c r="C46" i="11"/>
  <c r="D45" i="11"/>
  <c r="C45" i="11"/>
  <c r="D44" i="11"/>
  <c r="C44" i="11"/>
  <c r="D43" i="11"/>
  <c r="C43" i="11"/>
  <c r="D42" i="11"/>
  <c r="C42" i="11"/>
  <c r="D41" i="11"/>
  <c r="C41" i="11"/>
  <c r="D40" i="11"/>
  <c r="C40" i="11"/>
  <c r="D39" i="11"/>
  <c r="C39" i="11"/>
  <c r="D38" i="11"/>
  <c r="C38" i="11"/>
  <c r="D37" i="11"/>
  <c r="C37" i="11"/>
  <c r="D36" i="11"/>
  <c r="C36" i="11"/>
  <c r="D35" i="11"/>
  <c r="C35" i="11"/>
  <c r="D34" i="11"/>
  <c r="C34" i="11"/>
  <c r="D33" i="11"/>
  <c r="C33" i="11"/>
  <c r="D32" i="11"/>
  <c r="C32" i="11"/>
  <c r="D31" i="11"/>
  <c r="C31" i="11"/>
  <c r="D30" i="11"/>
  <c r="C30" i="11"/>
  <c r="D29" i="11"/>
  <c r="C29" i="11"/>
  <c r="D28" i="11"/>
  <c r="C28" i="11"/>
  <c r="D27" i="11"/>
  <c r="C27" i="11"/>
  <c r="D26" i="11"/>
  <c r="C26" i="11"/>
  <c r="D25" i="11"/>
  <c r="C25" i="11"/>
  <c r="D24" i="11"/>
  <c r="C24" i="11"/>
  <c r="D23" i="11"/>
  <c r="C23" i="11"/>
  <c r="D22" i="11"/>
  <c r="C22" i="11"/>
  <c r="D21" i="11"/>
  <c r="C21" i="11"/>
  <c r="D20" i="11"/>
  <c r="C20" i="11"/>
  <c r="D19" i="11"/>
  <c r="C19" i="11"/>
  <c r="D18" i="11"/>
  <c r="C18" i="11"/>
  <c r="D17" i="11"/>
  <c r="C17" i="11"/>
  <c r="D16" i="11"/>
  <c r="C16" i="11"/>
  <c r="D15" i="11"/>
  <c r="C15" i="11"/>
  <c r="D14" i="11"/>
  <c r="C14" i="11"/>
  <c r="D13" i="11"/>
  <c r="C13" i="11"/>
  <c r="D12" i="11"/>
  <c r="C12" i="11"/>
  <c r="D11" i="11"/>
  <c r="C11" i="11"/>
  <c r="D10" i="11"/>
  <c r="C10" i="11"/>
  <c r="D9" i="11"/>
  <c r="C9" i="11"/>
  <c r="D8" i="11"/>
  <c r="C8" i="11"/>
  <c r="D7" i="11"/>
  <c r="C7" i="11"/>
  <c r="C6" i="11"/>
  <c r="A65" i="10"/>
  <c r="D64" i="10"/>
  <c r="C64" i="10"/>
  <c r="A64" i="10"/>
  <c r="S63" i="10"/>
  <c r="D63" i="10"/>
  <c r="A63" i="10"/>
  <c r="T63" i="10" s="1"/>
  <c r="R62" i="10"/>
  <c r="A62" i="10"/>
  <c r="T60" i="10"/>
  <c r="S60" i="10"/>
  <c r="A60" i="10"/>
  <c r="E57" i="10"/>
  <c r="A57" i="10"/>
  <c r="R56" i="10"/>
  <c r="E56" i="10"/>
  <c r="D56" i="10"/>
  <c r="S55" i="10"/>
  <c r="F55" i="10"/>
  <c r="E55" i="10"/>
  <c r="D55" i="10"/>
  <c r="A55" i="10"/>
  <c r="T55" i="10" s="1"/>
  <c r="C53" i="10"/>
  <c r="B53" i="10"/>
  <c r="A53" i="10"/>
  <c r="A52" i="10"/>
  <c r="D50" i="10"/>
  <c r="C50" i="10"/>
  <c r="R42" i="10"/>
  <c r="D42" i="10"/>
  <c r="D38" i="10"/>
  <c r="B38" i="10"/>
  <c r="T35" i="10"/>
  <c r="R35" i="10"/>
  <c r="E35" i="10"/>
  <c r="A35" i="10"/>
  <c r="S35" i="10" s="1"/>
  <c r="D34" i="10"/>
  <c r="C34" i="10"/>
  <c r="T32" i="10"/>
  <c r="B32" i="10"/>
  <c r="A32" i="10"/>
  <c r="S32" i="10" s="1"/>
  <c r="T31" i="10"/>
  <c r="S31" i="10"/>
  <c r="R31" i="10"/>
  <c r="G31" i="10"/>
  <c r="B31" i="10"/>
  <c r="A31" i="10"/>
  <c r="E30" i="10"/>
  <c r="A30" i="10"/>
  <c r="Q27" i="10"/>
  <c r="M27" i="10"/>
  <c r="K27" i="10"/>
  <c r="J27" i="10"/>
  <c r="G27" i="10"/>
  <c r="A27" i="10"/>
  <c r="D26" i="10"/>
  <c r="C23" i="10"/>
  <c r="B23" i="10"/>
  <c r="C21" i="10"/>
  <c r="B21" i="10"/>
  <c r="A21" i="10"/>
  <c r="B20" i="10"/>
  <c r="A20" i="10"/>
  <c r="A19" i="10"/>
  <c r="A18" i="10"/>
  <c r="E9" i="10"/>
  <c r="B9" i="10"/>
  <c r="A7" i="10"/>
  <c r="C6" i="10"/>
  <c r="B6" i="10"/>
  <c r="L105" i="9"/>
  <c r="K105" i="9"/>
  <c r="D105" i="9"/>
  <c r="C105" i="9"/>
  <c r="L104" i="9"/>
  <c r="K104" i="9"/>
  <c r="D104" i="9"/>
  <c r="C104" i="9"/>
  <c r="L103" i="9"/>
  <c r="K103" i="9"/>
  <c r="D103" i="9"/>
  <c r="C103" i="9"/>
  <c r="L102" i="9"/>
  <c r="K102" i="9"/>
  <c r="D102" i="9"/>
  <c r="C102" i="9"/>
  <c r="L101" i="9"/>
  <c r="K101" i="9"/>
  <c r="D101" i="9"/>
  <c r="C101" i="9"/>
  <c r="L100" i="9"/>
  <c r="K100" i="9"/>
  <c r="D100" i="9"/>
  <c r="C100" i="9"/>
  <c r="L99" i="9"/>
  <c r="K99" i="9"/>
  <c r="D99" i="9"/>
  <c r="C99" i="9"/>
  <c r="L98" i="9"/>
  <c r="K98" i="9"/>
  <c r="D98" i="9"/>
  <c r="C98" i="9"/>
  <c r="L97" i="9"/>
  <c r="K97" i="9"/>
  <c r="D97" i="9"/>
  <c r="C97" i="9"/>
  <c r="L96" i="9"/>
  <c r="K96" i="9"/>
  <c r="D96" i="9"/>
  <c r="C96" i="9"/>
  <c r="L95" i="9"/>
  <c r="K95" i="9"/>
  <c r="D95" i="9"/>
  <c r="C95" i="9"/>
  <c r="L94" i="9"/>
  <c r="K94" i="9"/>
  <c r="D94" i="9"/>
  <c r="C94" i="9"/>
  <c r="L93" i="9"/>
  <c r="K93" i="9"/>
  <c r="D93" i="9"/>
  <c r="C93" i="9"/>
  <c r="L92" i="9"/>
  <c r="K92" i="9"/>
  <c r="D92" i="9"/>
  <c r="C92" i="9"/>
  <c r="L91" i="9"/>
  <c r="K91" i="9"/>
  <c r="D91" i="9"/>
  <c r="C91" i="9"/>
  <c r="L90" i="9"/>
  <c r="K90" i="9"/>
  <c r="D90" i="9"/>
  <c r="C90" i="9"/>
  <c r="L89" i="9"/>
  <c r="K89" i="9"/>
  <c r="D89" i="9"/>
  <c r="C89" i="9"/>
  <c r="L88" i="9"/>
  <c r="K88" i="9"/>
  <c r="D88" i="9"/>
  <c r="C88" i="9"/>
  <c r="L87" i="9"/>
  <c r="K87" i="9"/>
  <c r="D87" i="9"/>
  <c r="C87" i="9"/>
  <c r="L86" i="9"/>
  <c r="K86" i="9"/>
  <c r="D86" i="9"/>
  <c r="C86" i="9"/>
  <c r="L85" i="9"/>
  <c r="K85" i="9"/>
  <c r="D85" i="9"/>
  <c r="C85" i="9"/>
  <c r="L84" i="9"/>
  <c r="K84" i="9"/>
  <c r="D84" i="9"/>
  <c r="C84" i="9"/>
  <c r="L83" i="9"/>
  <c r="K83" i="9"/>
  <c r="D83" i="9"/>
  <c r="C83" i="9"/>
  <c r="L82" i="9"/>
  <c r="K82" i="9"/>
  <c r="D82" i="9"/>
  <c r="C82" i="9"/>
  <c r="L81" i="9"/>
  <c r="K81" i="9"/>
  <c r="D81" i="9"/>
  <c r="C81" i="9"/>
  <c r="L80" i="9"/>
  <c r="K80" i="9"/>
  <c r="D80" i="9"/>
  <c r="C80" i="9"/>
  <c r="L79" i="9"/>
  <c r="K79" i="9"/>
  <c r="D79" i="9"/>
  <c r="C79" i="9"/>
  <c r="L78" i="9"/>
  <c r="K78" i="9"/>
  <c r="D78" i="9"/>
  <c r="C78" i="9"/>
  <c r="L77" i="9"/>
  <c r="K77" i="9"/>
  <c r="D77" i="9"/>
  <c r="C77" i="9"/>
  <c r="L76" i="9"/>
  <c r="K76" i="9"/>
  <c r="D76" i="9"/>
  <c r="C76" i="9"/>
  <c r="L75" i="9"/>
  <c r="K75" i="9"/>
  <c r="D75" i="9"/>
  <c r="C75" i="9"/>
  <c r="L74" i="9"/>
  <c r="K74" i="9"/>
  <c r="D74" i="9"/>
  <c r="C74" i="9"/>
  <c r="L73" i="9"/>
  <c r="K73" i="9"/>
  <c r="D73" i="9"/>
  <c r="C73" i="9"/>
  <c r="L72" i="9"/>
  <c r="K72" i="9"/>
  <c r="D72" i="9"/>
  <c r="C72" i="9"/>
  <c r="L71" i="9"/>
  <c r="K71" i="9"/>
  <c r="D71" i="9"/>
  <c r="C71" i="9"/>
  <c r="L70" i="9"/>
  <c r="K70" i="9"/>
  <c r="D70" i="9"/>
  <c r="C70" i="9"/>
  <c r="L69" i="9"/>
  <c r="K69" i="9"/>
  <c r="D69" i="9"/>
  <c r="C69" i="9"/>
  <c r="L68" i="9"/>
  <c r="K68" i="9"/>
  <c r="D68" i="9"/>
  <c r="C68" i="9"/>
  <c r="L67" i="9"/>
  <c r="K67" i="9"/>
  <c r="D67" i="9"/>
  <c r="C67" i="9"/>
  <c r="L66" i="9"/>
  <c r="K66" i="9"/>
  <c r="D66" i="9"/>
  <c r="C66" i="9"/>
  <c r="L65" i="9"/>
  <c r="K65" i="9"/>
  <c r="D65" i="9"/>
  <c r="C65" i="9"/>
  <c r="L64" i="9"/>
  <c r="K64" i="9"/>
  <c r="D64" i="9"/>
  <c r="C64" i="9"/>
  <c r="L63" i="9"/>
  <c r="K63" i="9"/>
  <c r="D63" i="9"/>
  <c r="C63" i="9"/>
  <c r="L62" i="9"/>
  <c r="K62" i="9"/>
  <c r="D62" i="9"/>
  <c r="C62" i="9"/>
  <c r="L61" i="9"/>
  <c r="K61" i="9"/>
  <c r="D61" i="9"/>
  <c r="C61" i="9"/>
  <c r="L60" i="9"/>
  <c r="K60" i="9"/>
  <c r="D60" i="9"/>
  <c r="C60" i="9"/>
  <c r="L59" i="9"/>
  <c r="K59" i="9"/>
  <c r="D59" i="9"/>
  <c r="C59" i="9"/>
  <c r="L58" i="9"/>
  <c r="K58" i="9"/>
  <c r="D58" i="9"/>
  <c r="C58" i="9"/>
  <c r="L57" i="9"/>
  <c r="K57" i="9"/>
  <c r="D57" i="9"/>
  <c r="C57" i="9"/>
  <c r="L56" i="9"/>
  <c r="K56" i="9"/>
  <c r="D56" i="9"/>
  <c r="C56" i="9"/>
  <c r="L55" i="9"/>
  <c r="K55" i="9"/>
  <c r="D55" i="9"/>
  <c r="C55" i="9"/>
  <c r="L54" i="9"/>
  <c r="K54" i="9"/>
  <c r="D54" i="9"/>
  <c r="C54" i="9"/>
  <c r="L53" i="9"/>
  <c r="K53" i="9"/>
  <c r="D53" i="9"/>
  <c r="C53" i="9"/>
  <c r="L52" i="9"/>
  <c r="K52" i="9"/>
  <c r="D52" i="9"/>
  <c r="C52" i="9"/>
  <c r="L51" i="9"/>
  <c r="K51" i="9"/>
  <c r="D51" i="9"/>
  <c r="C51" i="9"/>
  <c r="L50" i="9"/>
  <c r="K50" i="9"/>
  <c r="D50" i="9"/>
  <c r="C50" i="9"/>
  <c r="L49" i="9"/>
  <c r="K49" i="9"/>
  <c r="D49" i="9"/>
  <c r="C49" i="9"/>
  <c r="L48" i="9"/>
  <c r="K48" i="9"/>
  <c r="D48" i="9"/>
  <c r="C48" i="9"/>
  <c r="L47" i="9"/>
  <c r="K47" i="9"/>
  <c r="D47" i="9"/>
  <c r="C47" i="9"/>
  <c r="L46" i="9"/>
  <c r="K46" i="9"/>
  <c r="D46" i="9"/>
  <c r="C46" i="9"/>
  <c r="L45" i="9"/>
  <c r="K45" i="9"/>
  <c r="D45" i="9"/>
  <c r="C45" i="9"/>
  <c r="L44" i="9"/>
  <c r="K44" i="9"/>
  <c r="D44" i="9"/>
  <c r="C44" i="9"/>
  <c r="L43" i="9"/>
  <c r="K43" i="9"/>
  <c r="D43" i="9"/>
  <c r="C43" i="9"/>
  <c r="L42" i="9"/>
  <c r="K42" i="9"/>
  <c r="D42" i="9"/>
  <c r="C42" i="9"/>
  <c r="L41" i="9"/>
  <c r="K41" i="9"/>
  <c r="D41" i="9"/>
  <c r="C41" i="9"/>
  <c r="L40" i="9"/>
  <c r="K40" i="9"/>
  <c r="D40" i="9"/>
  <c r="C40" i="9"/>
  <c r="L39" i="9"/>
  <c r="K39" i="9"/>
  <c r="D39" i="9"/>
  <c r="C39" i="9"/>
  <c r="L38" i="9"/>
  <c r="K38" i="9"/>
  <c r="D38" i="9"/>
  <c r="C38" i="9"/>
  <c r="L37" i="9"/>
  <c r="K37" i="9"/>
  <c r="D37" i="9"/>
  <c r="C37" i="9"/>
  <c r="L36" i="9"/>
  <c r="K36" i="9"/>
  <c r="D36" i="9"/>
  <c r="C36" i="9"/>
  <c r="L35" i="9"/>
  <c r="K35" i="9"/>
  <c r="D35" i="9"/>
  <c r="C35" i="9"/>
  <c r="L34" i="9"/>
  <c r="K34" i="9"/>
  <c r="D34" i="9"/>
  <c r="C34" i="9"/>
  <c r="L33" i="9"/>
  <c r="K33" i="9"/>
  <c r="D33" i="9"/>
  <c r="C33" i="9"/>
  <c r="L32" i="9"/>
  <c r="K32" i="9"/>
  <c r="D32" i="9"/>
  <c r="C32" i="9"/>
  <c r="L31" i="9"/>
  <c r="K31" i="9"/>
  <c r="D31" i="9"/>
  <c r="C31" i="9"/>
  <c r="L30" i="9"/>
  <c r="K30" i="9"/>
  <c r="D30" i="9"/>
  <c r="C30" i="9"/>
  <c r="L29" i="9"/>
  <c r="K29" i="9"/>
  <c r="D29" i="9"/>
  <c r="C29" i="9"/>
  <c r="L28" i="9"/>
  <c r="K28" i="9"/>
  <c r="D28" i="9"/>
  <c r="C28" i="9"/>
  <c r="L27" i="9"/>
  <c r="K27" i="9"/>
  <c r="D27" i="9"/>
  <c r="C27" i="9"/>
  <c r="L26" i="9"/>
  <c r="K26" i="9"/>
  <c r="D26" i="9"/>
  <c r="C26" i="9"/>
  <c r="L25" i="9"/>
  <c r="K25" i="9"/>
  <c r="D25" i="9"/>
  <c r="C25" i="9"/>
  <c r="L24" i="9"/>
  <c r="K24" i="9"/>
  <c r="D24" i="9"/>
  <c r="C24" i="9"/>
  <c r="L23" i="9"/>
  <c r="K23" i="9"/>
  <c r="D23" i="9"/>
  <c r="C23" i="9"/>
  <c r="L22" i="9"/>
  <c r="K22" i="9"/>
  <c r="D22" i="9"/>
  <c r="C22" i="9"/>
  <c r="L21" i="9"/>
  <c r="K21" i="9"/>
  <c r="D21" i="9"/>
  <c r="C21" i="9"/>
  <c r="L20" i="9"/>
  <c r="K20" i="9"/>
  <c r="D20" i="9"/>
  <c r="C20" i="9"/>
  <c r="L19" i="9"/>
  <c r="K19" i="9"/>
  <c r="D19" i="9"/>
  <c r="C19" i="9"/>
  <c r="L18" i="9"/>
  <c r="K18" i="9"/>
  <c r="D18" i="9"/>
  <c r="C18" i="9"/>
  <c r="L17" i="9"/>
  <c r="K17" i="9"/>
  <c r="D17" i="9"/>
  <c r="C17" i="9"/>
  <c r="L16" i="9"/>
  <c r="K16" i="9"/>
  <c r="D16" i="9"/>
  <c r="C16" i="9"/>
  <c r="L15" i="9"/>
  <c r="K15" i="9"/>
  <c r="D15" i="9"/>
  <c r="C15" i="9"/>
  <c r="L14" i="9"/>
  <c r="K14" i="9"/>
  <c r="D14" i="9"/>
  <c r="C14" i="9"/>
  <c r="D13" i="9"/>
  <c r="C13" i="9"/>
  <c r="D12" i="9"/>
  <c r="C12" i="9"/>
  <c r="L11" i="9"/>
  <c r="K11" i="9"/>
  <c r="C11" i="9"/>
  <c r="C10" i="9"/>
  <c r="C9" i="9"/>
  <c r="D8" i="9"/>
  <c r="C8" i="9"/>
  <c r="D7" i="9"/>
  <c r="C7" i="9"/>
  <c r="L6" i="9"/>
  <c r="K6" i="9"/>
  <c r="C6" i="9"/>
  <c r="Z65" i="8"/>
  <c r="X65" i="8"/>
  <c r="K65" i="8"/>
  <c r="J65" i="8"/>
  <c r="F65" i="8"/>
  <c r="E65" i="8"/>
  <c r="B65" i="8"/>
  <c r="B65" i="10" s="1"/>
  <c r="A65" i="8"/>
  <c r="Z64" i="8"/>
  <c r="X64" i="8"/>
  <c r="K64" i="8"/>
  <c r="J64" i="8"/>
  <c r="G64" i="8"/>
  <c r="E64" i="10" s="1"/>
  <c r="F64" i="8"/>
  <c r="E64" i="8"/>
  <c r="C64" i="8"/>
  <c r="B64" i="8"/>
  <c r="B64" i="10" s="1"/>
  <c r="A64" i="8"/>
  <c r="Z63" i="8"/>
  <c r="AC63" i="8" s="1"/>
  <c r="AD63" i="8" s="1"/>
  <c r="Y63" i="8"/>
  <c r="J63" i="8"/>
  <c r="I63" i="8"/>
  <c r="H63" i="8"/>
  <c r="G63" i="8"/>
  <c r="E63" i="10" s="1"/>
  <c r="C63" i="8"/>
  <c r="C63" i="10" s="1"/>
  <c r="B63" i="8"/>
  <c r="B63" i="10" s="1"/>
  <c r="A63" i="8"/>
  <c r="AC62" i="8"/>
  <c r="AD62" i="8" s="1"/>
  <c r="Z62" i="8"/>
  <c r="X62" i="8"/>
  <c r="K62" i="8"/>
  <c r="J62" i="8"/>
  <c r="L62" i="12" s="1"/>
  <c r="P62" i="10" s="1"/>
  <c r="I62" i="8"/>
  <c r="F62" i="8"/>
  <c r="E62" i="8"/>
  <c r="D62" i="8"/>
  <c r="C62" i="8"/>
  <c r="C62" i="10" s="1"/>
  <c r="B62" i="8"/>
  <c r="B62" i="10" s="1"/>
  <c r="A62" i="8"/>
  <c r="K61" i="8"/>
  <c r="J61" i="8"/>
  <c r="A61" i="8"/>
  <c r="Z60" i="8"/>
  <c r="X60" i="8"/>
  <c r="K60" i="8"/>
  <c r="J60" i="8"/>
  <c r="H60" i="8"/>
  <c r="G60" i="8"/>
  <c r="E60" i="10" s="1"/>
  <c r="C60" i="8"/>
  <c r="C60" i="10" s="1"/>
  <c r="B60" i="8"/>
  <c r="B60" i="10" s="1"/>
  <c r="A60" i="8"/>
  <c r="A59" i="8"/>
  <c r="X58" i="8"/>
  <c r="K58" i="8"/>
  <c r="J58" i="8"/>
  <c r="I58" i="8"/>
  <c r="L58" i="12" s="1"/>
  <c r="P58" i="10" s="1"/>
  <c r="C58" i="8"/>
  <c r="C58" i="10" s="1"/>
  <c r="B58" i="8"/>
  <c r="B58" i="10" s="1"/>
  <c r="A58" i="8"/>
  <c r="A58" i="12" s="1"/>
  <c r="G57" i="8"/>
  <c r="F57" i="8"/>
  <c r="D57" i="8"/>
  <c r="D57" i="10" s="1"/>
  <c r="B57" i="8"/>
  <c r="B57" i="10" s="1"/>
  <c r="A57" i="8"/>
  <c r="Z56" i="8"/>
  <c r="AC56" i="8" s="1"/>
  <c r="AD56" i="8" s="1"/>
  <c r="X56" i="8"/>
  <c r="K56" i="8"/>
  <c r="J56" i="8"/>
  <c r="I56" i="8"/>
  <c r="H56" i="8"/>
  <c r="G56" i="8"/>
  <c r="D56" i="8"/>
  <c r="AE56" i="8" s="1"/>
  <c r="C56" i="8"/>
  <c r="C56" i="10" s="1"/>
  <c r="B56" i="8"/>
  <c r="B56" i="10" s="1"/>
  <c r="A56" i="8"/>
  <c r="AE55" i="8"/>
  <c r="Z55" i="8"/>
  <c r="X55" i="8"/>
  <c r="K55" i="8"/>
  <c r="J55" i="8"/>
  <c r="I55" i="8"/>
  <c r="H55" i="8"/>
  <c r="G55" i="8"/>
  <c r="E55" i="8"/>
  <c r="D55" i="8"/>
  <c r="C55" i="8"/>
  <c r="C55" i="10" s="1"/>
  <c r="A55" i="8"/>
  <c r="A54" i="8"/>
  <c r="Z54" i="8" s="1"/>
  <c r="AE53" i="8"/>
  <c r="Z53" i="8"/>
  <c r="Y53" i="8"/>
  <c r="X53" i="8"/>
  <c r="K53" i="8"/>
  <c r="J53" i="8"/>
  <c r="I53" i="8"/>
  <c r="G53" i="8"/>
  <c r="E53" i="10" s="1"/>
  <c r="E53" i="8"/>
  <c r="C53" i="8"/>
  <c r="B53" i="8"/>
  <c r="A53" i="8"/>
  <c r="Z52" i="8"/>
  <c r="X52" i="8"/>
  <c r="K52" i="8"/>
  <c r="J52" i="8"/>
  <c r="I52" i="8"/>
  <c r="C52" i="12" s="1"/>
  <c r="G52" i="10" s="1"/>
  <c r="H52" i="8"/>
  <c r="G52" i="8"/>
  <c r="E52" i="10" s="1"/>
  <c r="F52" i="8"/>
  <c r="E52" i="8"/>
  <c r="A52" i="8"/>
  <c r="A51" i="8"/>
  <c r="Y50" i="8"/>
  <c r="X50" i="8"/>
  <c r="F50" i="8"/>
  <c r="E50" i="8"/>
  <c r="D50" i="8"/>
  <c r="C50" i="8"/>
  <c r="B50" i="8"/>
  <c r="B50" i="10" s="1"/>
  <c r="A50" i="8"/>
  <c r="K49" i="8"/>
  <c r="J49" i="8"/>
  <c r="C49" i="8"/>
  <c r="C49" i="10" s="1"/>
  <c r="B49" i="8"/>
  <c r="B49" i="10" s="1"/>
  <c r="A49" i="8"/>
  <c r="Z48" i="8"/>
  <c r="X48" i="8"/>
  <c r="K48" i="8"/>
  <c r="I48" i="8"/>
  <c r="H48" i="8"/>
  <c r="G48" i="8"/>
  <c r="E48" i="10" s="1"/>
  <c r="F48" i="8"/>
  <c r="E48" i="8"/>
  <c r="A48" i="8"/>
  <c r="X47" i="8"/>
  <c r="J47" i="8"/>
  <c r="E47" i="8"/>
  <c r="A47" i="8"/>
  <c r="Z46" i="8"/>
  <c r="AC46" i="8" s="1"/>
  <c r="AD46" i="8" s="1"/>
  <c r="X46" i="8"/>
  <c r="K46" i="8"/>
  <c r="J46" i="8"/>
  <c r="C46" i="8"/>
  <c r="C46" i="10" s="1"/>
  <c r="A46" i="8"/>
  <c r="A45" i="8"/>
  <c r="G44" i="8"/>
  <c r="E44" i="10" s="1"/>
  <c r="F44" i="8"/>
  <c r="A44" i="8"/>
  <c r="Z43" i="8"/>
  <c r="R43" i="10" s="1"/>
  <c r="K43" i="8"/>
  <c r="J43" i="8"/>
  <c r="H43" i="8"/>
  <c r="F43" i="8"/>
  <c r="C43" i="8"/>
  <c r="C43" i="10" s="1"/>
  <c r="B43" i="8"/>
  <c r="B43" i="10" s="1"/>
  <c r="A43" i="8"/>
  <c r="AC42" i="8"/>
  <c r="AD42" i="8" s="1"/>
  <c r="Z42" i="8"/>
  <c r="X42" i="8"/>
  <c r="K42" i="8"/>
  <c r="J42" i="8"/>
  <c r="I42" i="8"/>
  <c r="G42" i="8"/>
  <c r="E42" i="10" s="1"/>
  <c r="F42" i="8"/>
  <c r="E42" i="8"/>
  <c r="D42" i="8"/>
  <c r="AE42" i="8" s="1"/>
  <c r="C42" i="8"/>
  <c r="C42" i="10" s="1"/>
  <c r="B42" i="8"/>
  <c r="B42" i="10" s="1"/>
  <c r="A42" i="8"/>
  <c r="AC41" i="8"/>
  <c r="AD41" i="8" s="1"/>
  <c r="Z41" i="8"/>
  <c r="R41" i="10" s="1"/>
  <c r="X41" i="8"/>
  <c r="K41" i="8"/>
  <c r="J41" i="8"/>
  <c r="H41" i="8"/>
  <c r="E41" i="8"/>
  <c r="C41" i="8"/>
  <c r="C41" i="10" s="1"/>
  <c r="B41" i="8"/>
  <c r="B41" i="10" s="1"/>
  <c r="A41" i="8"/>
  <c r="AE40" i="8"/>
  <c r="X40" i="8"/>
  <c r="K40" i="8"/>
  <c r="I40" i="8"/>
  <c r="H40" i="8"/>
  <c r="G40" i="8"/>
  <c r="E40" i="10" s="1"/>
  <c r="F40" i="8"/>
  <c r="E40" i="8"/>
  <c r="D40" i="8"/>
  <c r="D40" i="10" s="1"/>
  <c r="C40" i="8"/>
  <c r="C40" i="10" s="1"/>
  <c r="B40" i="8"/>
  <c r="B40" i="10" s="1"/>
  <c r="A40" i="8"/>
  <c r="G39" i="8"/>
  <c r="E39" i="10" s="1"/>
  <c r="D39" i="8"/>
  <c r="D39" i="10" s="1"/>
  <c r="A39" i="8"/>
  <c r="AE38" i="8"/>
  <c r="X38" i="8"/>
  <c r="AA38" i="8" s="1"/>
  <c r="K38" i="8"/>
  <c r="J38" i="8"/>
  <c r="I38" i="8"/>
  <c r="C38" i="12" s="1"/>
  <c r="G38" i="10" s="1"/>
  <c r="H38" i="8"/>
  <c r="E38" i="8"/>
  <c r="C38" i="8"/>
  <c r="C38" i="10" s="1"/>
  <c r="B38" i="8"/>
  <c r="A38" i="8"/>
  <c r="A38" i="10" s="1"/>
  <c r="E37" i="8"/>
  <c r="D37" i="8"/>
  <c r="D37" i="10" s="1"/>
  <c r="B37" i="8"/>
  <c r="B37" i="10" s="1"/>
  <c r="A37" i="8"/>
  <c r="X36" i="8"/>
  <c r="K36" i="8"/>
  <c r="C36" i="8"/>
  <c r="C36" i="10" s="1"/>
  <c r="A36" i="8"/>
  <c r="AC35" i="8"/>
  <c r="AD35" i="8" s="1"/>
  <c r="Z35" i="8"/>
  <c r="X35" i="8"/>
  <c r="K35" i="8"/>
  <c r="J35" i="8"/>
  <c r="G35" i="12" s="1"/>
  <c r="K35" i="10" s="1"/>
  <c r="I35" i="8"/>
  <c r="H35" i="12" s="1"/>
  <c r="L35" i="10" s="1"/>
  <c r="H35" i="8"/>
  <c r="G35" i="8"/>
  <c r="F35" i="8"/>
  <c r="E35" i="8"/>
  <c r="D35" i="8"/>
  <c r="C35" i="8"/>
  <c r="C35" i="10" s="1"/>
  <c r="A35" i="8"/>
  <c r="AC34" i="8"/>
  <c r="AD34" i="8" s="1"/>
  <c r="Z34" i="8"/>
  <c r="R34" i="10" s="1"/>
  <c r="X34" i="8"/>
  <c r="K34" i="8"/>
  <c r="J34" i="8"/>
  <c r="I34" i="8"/>
  <c r="H34" i="8"/>
  <c r="G34" i="8"/>
  <c r="E34" i="10" s="1"/>
  <c r="E34" i="8"/>
  <c r="D34" i="8"/>
  <c r="AE34" i="8" s="1"/>
  <c r="C34" i="8"/>
  <c r="B34" i="8"/>
  <c r="B34" i="10" s="1"/>
  <c r="A34" i="8"/>
  <c r="A33" i="8"/>
  <c r="AE32" i="8"/>
  <c r="AC32" i="8"/>
  <c r="AD32" i="8" s="1"/>
  <c r="Z32" i="8"/>
  <c r="R32" i="10" s="1"/>
  <c r="K32" i="8"/>
  <c r="H32" i="8"/>
  <c r="F32" i="8"/>
  <c r="C32" i="8"/>
  <c r="C32" i="10" s="1"/>
  <c r="B32" i="8"/>
  <c r="A32" i="8"/>
  <c r="Z31" i="8"/>
  <c r="AC31" i="8" s="1"/>
  <c r="AD31" i="8" s="1"/>
  <c r="X31" i="8"/>
  <c r="K31" i="8"/>
  <c r="J31" i="8"/>
  <c r="I31" i="8"/>
  <c r="G31" i="8"/>
  <c r="E31" i="10" s="1"/>
  <c r="E31" i="8"/>
  <c r="D31" i="8"/>
  <c r="C31" i="8"/>
  <c r="C31" i="10" s="1"/>
  <c r="B31" i="8"/>
  <c r="A31" i="8"/>
  <c r="Z30" i="8"/>
  <c r="X30" i="8"/>
  <c r="K30" i="8"/>
  <c r="J30" i="8"/>
  <c r="I30" i="8"/>
  <c r="H30" i="8"/>
  <c r="G30" i="8"/>
  <c r="E30" i="8"/>
  <c r="C30" i="8"/>
  <c r="C30" i="10" s="1"/>
  <c r="B30" i="8"/>
  <c r="B30" i="10" s="1"/>
  <c r="A30" i="8"/>
  <c r="K30" i="12" s="1"/>
  <c r="O30" i="10" s="1"/>
  <c r="K29" i="8"/>
  <c r="J29" i="8"/>
  <c r="I29" i="8"/>
  <c r="C29" i="12" s="1"/>
  <c r="G29" i="10" s="1"/>
  <c r="H29" i="8"/>
  <c r="G29" i="8"/>
  <c r="E29" i="10" s="1"/>
  <c r="F29" i="8"/>
  <c r="E29" i="8"/>
  <c r="A29" i="8"/>
  <c r="A28" i="8"/>
  <c r="AE27" i="8"/>
  <c r="K27" i="8"/>
  <c r="J27" i="8"/>
  <c r="I27" i="8"/>
  <c r="K27" i="12" s="1"/>
  <c r="O27" i="10" s="1"/>
  <c r="H27" i="8"/>
  <c r="E27" i="8"/>
  <c r="D27" i="8"/>
  <c r="D27" i="10" s="1"/>
  <c r="C27" i="8"/>
  <c r="C27" i="10" s="1"/>
  <c r="B27" i="8"/>
  <c r="B27" i="10" s="1"/>
  <c r="A27" i="8"/>
  <c r="K26" i="8"/>
  <c r="I26" i="8"/>
  <c r="H26" i="8"/>
  <c r="G26" i="8"/>
  <c r="E26" i="10" s="1"/>
  <c r="E26" i="8"/>
  <c r="D26" i="8"/>
  <c r="AE26" i="8" s="1"/>
  <c r="B26" i="8"/>
  <c r="B26" i="10" s="1"/>
  <c r="A26" i="8"/>
  <c r="J25" i="8"/>
  <c r="I25" i="8"/>
  <c r="C25" i="8"/>
  <c r="C25" i="10" s="1"/>
  <c r="B25" i="8"/>
  <c r="B25" i="10" s="1"/>
  <c r="A25" i="8"/>
  <c r="A24" i="8"/>
  <c r="J24" i="8" s="1"/>
  <c r="K23" i="8"/>
  <c r="J23" i="8"/>
  <c r="I23" i="8"/>
  <c r="J23" i="12" s="1"/>
  <c r="N23" i="10" s="1"/>
  <c r="H23" i="8"/>
  <c r="G23" i="8"/>
  <c r="E23" i="10" s="1"/>
  <c r="E23" i="8"/>
  <c r="D23" i="8"/>
  <c r="AE23" i="8" s="1"/>
  <c r="C23" i="8"/>
  <c r="B23" i="8"/>
  <c r="A23" i="8"/>
  <c r="K22" i="8"/>
  <c r="G22" i="8"/>
  <c r="E22" i="10" s="1"/>
  <c r="A22" i="8"/>
  <c r="K21" i="8"/>
  <c r="J21" i="8"/>
  <c r="I21" i="8"/>
  <c r="H21" i="8"/>
  <c r="G21" i="8"/>
  <c r="E21" i="10" s="1"/>
  <c r="F21" i="8"/>
  <c r="C21" i="8"/>
  <c r="B21" i="8"/>
  <c r="A21" i="8"/>
  <c r="Y20" i="8"/>
  <c r="K20" i="8"/>
  <c r="J20" i="8"/>
  <c r="I20" i="8"/>
  <c r="G20" i="8"/>
  <c r="E20" i="10" s="1"/>
  <c r="E20" i="8"/>
  <c r="D20" i="8"/>
  <c r="C20" i="8"/>
  <c r="C20" i="10" s="1"/>
  <c r="B20" i="8"/>
  <c r="A20" i="8"/>
  <c r="K19" i="8"/>
  <c r="J19" i="8"/>
  <c r="I19" i="8"/>
  <c r="H19" i="8"/>
  <c r="G19" i="8"/>
  <c r="E19" i="10" s="1"/>
  <c r="E19" i="8"/>
  <c r="C19" i="8"/>
  <c r="C19" i="10" s="1"/>
  <c r="B19" i="8"/>
  <c r="B19" i="10" s="1"/>
  <c r="A19" i="8"/>
  <c r="K18" i="8"/>
  <c r="J18" i="8"/>
  <c r="I18" i="8"/>
  <c r="H18" i="8"/>
  <c r="G18" i="8"/>
  <c r="E18" i="10" s="1"/>
  <c r="E18" i="8"/>
  <c r="C18" i="8"/>
  <c r="C18" i="10" s="1"/>
  <c r="B18" i="8"/>
  <c r="B18" i="10" s="1"/>
  <c r="A18" i="8"/>
  <c r="J17" i="8"/>
  <c r="I17" i="8"/>
  <c r="E17" i="12" s="1"/>
  <c r="I17" i="10" s="1"/>
  <c r="H17" i="8"/>
  <c r="G17" i="8"/>
  <c r="E17" i="10" s="1"/>
  <c r="F17" i="8"/>
  <c r="E17" i="8"/>
  <c r="D17" i="8"/>
  <c r="D17" i="10" s="1"/>
  <c r="C17" i="8"/>
  <c r="C17" i="10" s="1"/>
  <c r="B17" i="8"/>
  <c r="B17" i="10" s="1"/>
  <c r="A17" i="8"/>
  <c r="I16" i="8"/>
  <c r="H16" i="8"/>
  <c r="D16" i="8"/>
  <c r="D16" i="10" s="1"/>
  <c r="A16" i="8"/>
  <c r="K15" i="8"/>
  <c r="I15" i="8"/>
  <c r="E15" i="8"/>
  <c r="B15" i="8"/>
  <c r="B15" i="10" s="1"/>
  <c r="A15" i="8"/>
  <c r="K14" i="8"/>
  <c r="J14" i="8"/>
  <c r="I14" i="8"/>
  <c r="G14" i="8"/>
  <c r="E14" i="10" s="1"/>
  <c r="E14" i="8"/>
  <c r="D14" i="8"/>
  <c r="D14" i="10" s="1"/>
  <c r="C14" i="8"/>
  <c r="C14" i="10" s="1"/>
  <c r="A14" i="8"/>
  <c r="Y13" i="8"/>
  <c r="K13" i="8"/>
  <c r="J13" i="8"/>
  <c r="E13" i="8"/>
  <c r="A13" i="8"/>
  <c r="AE12" i="8"/>
  <c r="A12" i="8"/>
  <c r="D12" i="8" s="1"/>
  <c r="D12" i="10" s="1"/>
  <c r="K11" i="8"/>
  <c r="D11" i="8"/>
  <c r="D11" i="10" s="1"/>
  <c r="A11" i="8"/>
  <c r="A10" i="8"/>
  <c r="B5" i="2" s="1"/>
  <c r="K9" i="8"/>
  <c r="J9" i="8"/>
  <c r="K9" i="12" s="1"/>
  <c r="O9" i="10" s="1"/>
  <c r="I9" i="8"/>
  <c r="G9" i="8"/>
  <c r="E9" i="8"/>
  <c r="D9" i="8"/>
  <c r="D9" i="10" s="1"/>
  <c r="C9" i="8"/>
  <c r="C9" i="10" s="1"/>
  <c r="B9" i="8"/>
  <c r="A9" i="8"/>
  <c r="K8" i="8"/>
  <c r="J8" i="8"/>
  <c r="I8" i="8"/>
  <c r="H8" i="8"/>
  <c r="E8" i="8"/>
  <c r="C8" i="8"/>
  <c r="C8" i="10" s="1"/>
  <c r="B8" i="8"/>
  <c r="B8" i="10" s="1"/>
  <c r="A8" i="8"/>
  <c r="K7" i="8"/>
  <c r="J7" i="8"/>
  <c r="I7" i="8"/>
  <c r="H7" i="8"/>
  <c r="G7" i="8"/>
  <c r="E7" i="10" s="1"/>
  <c r="E7" i="8"/>
  <c r="C7" i="8"/>
  <c r="C7" i="10" s="1"/>
  <c r="B7" i="8"/>
  <c r="B7" i="10" s="1"/>
  <c r="A7" i="8"/>
  <c r="I6" i="8"/>
  <c r="H6" i="8"/>
  <c r="G6" i="8"/>
  <c r="E6" i="10" s="1"/>
  <c r="C6" i="8"/>
  <c r="B6" i="8"/>
  <c r="A6" i="8"/>
  <c r="R65" i="7"/>
  <c r="G65" i="7"/>
  <c r="F65" i="7"/>
  <c r="R64" i="7"/>
  <c r="G64" i="7"/>
  <c r="F64" i="7"/>
  <c r="D64" i="8" s="1"/>
  <c r="AE64" i="8" s="1"/>
  <c r="R63" i="7"/>
  <c r="G63" i="7"/>
  <c r="F63" i="8" s="1"/>
  <c r="F63" i="7"/>
  <c r="D63" i="8" s="1"/>
  <c r="AE63" i="8" s="1"/>
  <c r="R62" i="7"/>
  <c r="G62" i="7"/>
  <c r="F62" i="7"/>
  <c r="R61" i="7"/>
  <c r="G61" i="7"/>
  <c r="F61" i="7"/>
  <c r="R60" i="7"/>
  <c r="G60" i="7"/>
  <c r="F60" i="7"/>
  <c r="R59" i="7"/>
  <c r="G59" i="7"/>
  <c r="F59" i="7"/>
  <c r="R58" i="7"/>
  <c r="G58" i="7"/>
  <c r="F58" i="7"/>
  <c r="R57" i="7"/>
  <c r="G57" i="7"/>
  <c r="F57" i="7"/>
  <c r="R56" i="7"/>
  <c r="G56" i="7"/>
  <c r="F56" i="7"/>
  <c r="R55" i="7"/>
  <c r="G55" i="7"/>
  <c r="F55" i="8" s="1"/>
  <c r="F55" i="7"/>
  <c r="R54" i="7"/>
  <c r="G54" i="7"/>
  <c r="F54" i="7"/>
  <c r="R53" i="7"/>
  <c r="G53" i="7"/>
  <c r="F53" i="8" s="1"/>
  <c r="F53" i="7"/>
  <c r="D53" i="8" s="1"/>
  <c r="D53" i="10" s="1"/>
  <c r="R52" i="7"/>
  <c r="G52" i="7"/>
  <c r="F52" i="7"/>
  <c r="R51" i="7"/>
  <c r="G51" i="7"/>
  <c r="F51" i="7"/>
  <c r="R50" i="7"/>
  <c r="G50" i="7"/>
  <c r="F50" i="7"/>
  <c r="R49" i="7"/>
  <c r="G49" i="7"/>
  <c r="F49" i="7"/>
  <c r="R48" i="7"/>
  <c r="G48" i="7"/>
  <c r="F48" i="7"/>
  <c r="D48" i="8" s="1"/>
  <c r="D48" i="10" s="1"/>
  <c r="R47" i="7"/>
  <c r="G47" i="7"/>
  <c r="F47" i="7"/>
  <c r="R46" i="7"/>
  <c r="G46" i="7"/>
  <c r="F46" i="7"/>
  <c r="R45" i="7"/>
  <c r="G45" i="7"/>
  <c r="F45" i="7"/>
  <c r="R44" i="7"/>
  <c r="G44" i="7"/>
  <c r="F44" i="7"/>
  <c r="R43" i="7"/>
  <c r="G43" i="7"/>
  <c r="F43" i="7"/>
  <c r="R42" i="7"/>
  <c r="G42" i="7"/>
  <c r="F42" i="7"/>
  <c r="R41" i="7"/>
  <c r="G41" i="7"/>
  <c r="F41" i="7"/>
  <c r="R40" i="7"/>
  <c r="G40" i="7"/>
  <c r="F40" i="7"/>
  <c r="R39" i="7"/>
  <c r="G39" i="7"/>
  <c r="F39" i="8" s="1"/>
  <c r="F39" i="7"/>
  <c r="R38" i="7"/>
  <c r="G38" i="7"/>
  <c r="F38" i="7"/>
  <c r="D38" i="8" s="1"/>
  <c r="R37" i="7"/>
  <c r="G37" i="7"/>
  <c r="F37" i="7"/>
  <c r="R36" i="7"/>
  <c r="G36" i="7"/>
  <c r="F36" i="7"/>
  <c r="R35" i="7"/>
  <c r="G35" i="7"/>
  <c r="F35" i="7"/>
  <c r="R34" i="7"/>
  <c r="G34" i="7"/>
  <c r="F34" i="8" s="1"/>
  <c r="F34" i="7"/>
  <c r="R33" i="7"/>
  <c r="G33" i="7"/>
  <c r="F33" i="7"/>
  <c r="R32" i="7"/>
  <c r="G32" i="7"/>
  <c r="F32" i="7"/>
  <c r="D32" i="8" s="1"/>
  <c r="D32" i="10" s="1"/>
  <c r="R31" i="7"/>
  <c r="G31" i="7"/>
  <c r="F31" i="8" s="1"/>
  <c r="F31" i="7"/>
  <c r="R30" i="7"/>
  <c r="G30" i="7"/>
  <c r="F30" i="8" s="1"/>
  <c r="F30" i="7"/>
  <c r="R29" i="7"/>
  <c r="G29" i="7"/>
  <c r="F29" i="7"/>
  <c r="D10" i="9" s="1"/>
  <c r="R28" i="7"/>
  <c r="G28" i="7"/>
  <c r="F28" i="7"/>
  <c r="G27" i="7"/>
  <c r="F27" i="8" s="1"/>
  <c r="F27" i="7"/>
  <c r="R27" i="7" s="1"/>
  <c r="R26" i="7"/>
  <c r="G26" i="7"/>
  <c r="F26" i="8" s="1"/>
  <c r="F26" i="7"/>
  <c r="G25" i="7"/>
  <c r="F25" i="7"/>
  <c r="R25" i="7" s="1"/>
  <c r="G24" i="7"/>
  <c r="F24" i="7"/>
  <c r="R24" i="7" s="1"/>
  <c r="G23" i="7"/>
  <c r="F23" i="8" s="1"/>
  <c r="F23" i="7"/>
  <c r="R23" i="7" s="1"/>
  <c r="R22" i="7"/>
  <c r="G22" i="7"/>
  <c r="F22" i="7"/>
  <c r="G21" i="7"/>
  <c r="F21" i="7"/>
  <c r="G20" i="7"/>
  <c r="F20" i="8" s="1"/>
  <c r="F20" i="7"/>
  <c r="G19" i="7"/>
  <c r="F19" i="8" s="1"/>
  <c r="F19" i="7"/>
  <c r="R19" i="7" s="1"/>
  <c r="G18" i="7"/>
  <c r="F18" i="8" s="1"/>
  <c r="F18" i="7"/>
  <c r="R18" i="7" s="1"/>
  <c r="R17" i="7"/>
  <c r="G17" i="7"/>
  <c r="F17" i="7"/>
  <c r="D9" i="9" s="1"/>
  <c r="R16" i="7"/>
  <c r="G16" i="7"/>
  <c r="F16" i="7"/>
  <c r="R15" i="7"/>
  <c r="G15" i="7"/>
  <c r="F15" i="7"/>
  <c r="D15" i="8" s="1"/>
  <c r="R14" i="7"/>
  <c r="G14" i="7"/>
  <c r="F14" i="7"/>
  <c r="G13" i="7"/>
  <c r="F13" i="7"/>
  <c r="R13" i="7" s="1"/>
  <c r="R12" i="7"/>
  <c r="G12" i="7"/>
  <c r="F12" i="7"/>
  <c r="R11" i="7"/>
  <c r="G11" i="7"/>
  <c r="F11" i="7"/>
  <c r="D11" i="9" s="1"/>
  <c r="G10" i="7"/>
  <c r="F10" i="7"/>
  <c r="R10" i="7" s="1"/>
  <c r="R9" i="7"/>
  <c r="G9" i="7"/>
  <c r="F9" i="8" s="1"/>
  <c r="F9" i="7"/>
  <c r="D6" i="11" s="1"/>
  <c r="G8" i="7"/>
  <c r="F8" i="8" s="1"/>
  <c r="F8" i="7"/>
  <c r="R8" i="7" s="1"/>
  <c r="R7" i="7"/>
  <c r="G7" i="7"/>
  <c r="F7" i="8" s="1"/>
  <c r="F7" i="7"/>
  <c r="D7" i="8" s="1"/>
  <c r="G6" i="7"/>
  <c r="F6" i="8" s="1"/>
  <c r="F6" i="7"/>
  <c r="O65" i="6"/>
  <c r="N65" i="6"/>
  <c r="K65" i="6"/>
  <c r="J65" i="6"/>
  <c r="I65" i="6"/>
  <c r="H65" i="6"/>
  <c r="G65" i="6"/>
  <c r="C65" i="6"/>
  <c r="O64" i="6"/>
  <c r="N64" i="6"/>
  <c r="M64" i="6"/>
  <c r="K64" i="6"/>
  <c r="J64" i="6"/>
  <c r="I64" i="6"/>
  <c r="L64" i="6" s="1"/>
  <c r="H64" i="6"/>
  <c r="G64" i="6"/>
  <c r="C64" i="6"/>
  <c r="O63" i="6"/>
  <c r="N63" i="6"/>
  <c r="L63" i="6"/>
  <c r="M63" i="6" s="1"/>
  <c r="K63" i="6"/>
  <c r="J63" i="6"/>
  <c r="I63" i="6"/>
  <c r="H63" i="6"/>
  <c r="G63" i="6"/>
  <c r="C63" i="6"/>
  <c r="O62" i="6"/>
  <c r="N62" i="6"/>
  <c r="L62" i="6"/>
  <c r="M62" i="6" s="1"/>
  <c r="K62" i="6"/>
  <c r="J62" i="6"/>
  <c r="I62" i="6"/>
  <c r="H62" i="6"/>
  <c r="G62" i="6"/>
  <c r="C62" i="6"/>
  <c r="O61" i="6"/>
  <c r="N61" i="6"/>
  <c r="K61" i="6"/>
  <c r="J61" i="6"/>
  <c r="L61" i="6" s="1"/>
  <c r="M61" i="6" s="1"/>
  <c r="I61" i="6"/>
  <c r="H61" i="6"/>
  <c r="G61" i="6"/>
  <c r="C61" i="6"/>
  <c r="O60" i="6"/>
  <c r="N60" i="6"/>
  <c r="K60" i="6"/>
  <c r="J60" i="6"/>
  <c r="I60" i="6"/>
  <c r="L60" i="6" s="1"/>
  <c r="M60" i="6" s="1"/>
  <c r="H60" i="6"/>
  <c r="G60" i="6"/>
  <c r="C60" i="6"/>
  <c r="O59" i="6"/>
  <c r="N59" i="6"/>
  <c r="K59" i="6"/>
  <c r="J59" i="6"/>
  <c r="I59" i="6"/>
  <c r="H59" i="6"/>
  <c r="G59" i="6"/>
  <c r="C59" i="6"/>
  <c r="O58" i="6"/>
  <c r="N58" i="6"/>
  <c r="M58" i="6"/>
  <c r="L58" i="6"/>
  <c r="K58" i="6"/>
  <c r="J58" i="6"/>
  <c r="I58" i="6"/>
  <c r="H58" i="6"/>
  <c r="G58" i="6"/>
  <c r="C58" i="6"/>
  <c r="O57" i="6"/>
  <c r="N57" i="6"/>
  <c r="K57" i="6"/>
  <c r="J57" i="6"/>
  <c r="I57" i="6"/>
  <c r="L57" i="6" s="1"/>
  <c r="M57" i="6" s="1"/>
  <c r="H57" i="6"/>
  <c r="G57" i="6"/>
  <c r="C57" i="6"/>
  <c r="O56" i="6"/>
  <c r="N56" i="6"/>
  <c r="K56" i="6"/>
  <c r="J56" i="6"/>
  <c r="L56" i="6" s="1"/>
  <c r="M56" i="6" s="1"/>
  <c r="I56" i="6"/>
  <c r="H56" i="6"/>
  <c r="G56" i="6"/>
  <c r="C56" i="6"/>
  <c r="O55" i="6"/>
  <c r="N55" i="6"/>
  <c r="K55" i="6"/>
  <c r="J55" i="6"/>
  <c r="I55" i="6"/>
  <c r="H55" i="6"/>
  <c r="G55" i="6"/>
  <c r="C55" i="6"/>
  <c r="O54" i="6"/>
  <c r="N54" i="6"/>
  <c r="K54" i="6"/>
  <c r="J54" i="6"/>
  <c r="I54" i="6"/>
  <c r="L54" i="6" s="1"/>
  <c r="M54" i="6" s="1"/>
  <c r="H54" i="6"/>
  <c r="G54" i="6"/>
  <c r="C54" i="6"/>
  <c r="O53" i="6"/>
  <c r="N53" i="6"/>
  <c r="K53" i="6"/>
  <c r="J53" i="6"/>
  <c r="L53" i="6" s="1"/>
  <c r="M53" i="6" s="1"/>
  <c r="I53" i="6"/>
  <c r="H53" i="6"/>
  <c r="G53" i="6"/>
  <c r="C53" i="6"/>
  <c r="O52" i="6"/>
  <c r="N52" i="6"/>
  <c r="K52" i="6"/>
  <c r="J52" i="6"/>
  <c r="L52" i="6" s="1"/>
  <c r="M52" i="6" s="1"/>
  <c r="I52" i="6"/>
  <c r="H52" i="6"/>
  <c r="G52" i="6"/>
  <c r="C52" i="6"/>
  <c r="O51" i="6"/>
  <c r="N51" i="6"/>
  <c r="M51" i="6"/>
  <c r="L51" i="6"/>
  <c r="K51" i="6"/>
  <c r="J51" i="6"/>
  <c r="I51" i="6"/>
  <c r="H51" i="6"/>
  <c r="G51" i="6"/>
  <c r="C51" i="6"/>
  <c r="O50" i="6"/>
  <c r="N50" i="6"/>
  <c r="K50" i="6"/>
  <c r="J50" i="6"/>
  <c r="L50" i="6" s="1"/>
  <c r="M50" i="6" s="1"/>
  <c r="I50" i="6"/>
  <c r="H50" i="6"/>
  <c r="G50" i="6"/>
  <c r="C50" i="6"/>
  <c r="O49" i="6"/>
  <c r="N49" i="6"/>
  <c r="K49" i="6"/>
  <c r="L49" i="6" s="1"/>
  <c r="M49" i="6" s="1"/>
  <c r="J49" i="6"/>
  <c r="I49" i="6"/>
  <c r="H49" i="6"/>
  <c r="G49" i="6"/>
  <c r="C49" i="6"/>
  <c r="O48" i="6"/>
  <c r="N48" i="6"/>
  <c r="K48" i="6"/>
  <c r="J48" i="6"/>
  <c r="I48" i="6"/>
  <c r="H48" i="6"/>
  <c r="G48" i="6"/>
  <c r="C48" i="6"/>
  <c r="O47" i="6"/>
  <c r="N47" i="6"/>
  <c r="K47" i="6"/>
  <c r="J47" i="6"/>
  <c r="I47" i="6"/>
  <c r="L47" i="6" s="1"/>
  <c r="M47" i="6" s="1"/>
  <c r="H47" i="6"/>
  <c r="G47" i="6"/>
  <c r="C47" i="6"/>
  <c r="O46" i="6"/>
  <c r="N46" i="6"/>
  <c r="M46" i="6"/>
  <c r="K46" i="6"/>
  <c r="J46" i="6"/>
  <c r="I46" i="6"/>
  <c r="L46" i="6" s="1"/>
  <c r="H46" i="6"/>
  <c r="G46" i="6"/>
  <c r="C46" i="6"/>
  <c r="O45" i="6"/>
  <c r="N45" i="6"/>
  <c r="L45" i="6"/>
  <c r="M45" i="6" s="1"/>
  <c r="K45" i="6"/>
  <c r="J45" i="6"/>
  <c r="I45" i="6"/>
  <c r="H45" i="6"/>
  <c r="G45" i="6"/>
  <c r="C45" i="6"/>
  <c r="O44" i="6"/>
  <c r="N44" i="6"/>
  <c r="K44" i="6"/>
  <c r="L44" i="6" s="1"/>
  <c r="M44" i="6" s="1"/>
  <c r="J44" i="6"/>
  <c r="I44" i="6"/>
  <c r="H44" i="6"/>
  <c r="G44" i="6"/>
  <c r="C44" i="6"/>
  <c r="O43" i="6"/>
  <c r="N43" i="6"/>
  <c r="K43" i="6"/>
  <c r="J43" i="6"/>
  <c r="I43" i="6"/>
  <c r="L43" i="6" s="1"/>
  <c r="M43" i="6" s="1"/>
  <c r="H43" i="6"/>
  <c r="G43" i="6"/>
  <c r="C43" i="6"/>
  <c r="O42" i="6"/>
  <c r="N42" i="6"/>
  <c r="L42" i="6"/>
  <c r="M42" i="6" s="1"/>
  <c r="K42" i="6"/>
  <c r="J42" i="6"/>
  <c r="I42" i="6"/>
  <c r="H42" i="6"/>
  <c r="G42" i="6"/>
  <c r="C42" i="6"/>
  <c r="O41" i="6"/>
  <c r="N41" i="6"/>
  <c r="L41" i="6"/>
  <c r="M41" i="6" s="1"/>
  <c r="K41" i="6"/>
  <c r="J41" i="6"/>
  <c r="I41" i="6"/>
  <c r="H41" i="6"/>
  <c r="G41" i="6"/>
  <c r="C41" i="6"/>
  <c r="O40" i="6"/>
  <c r="N40" i="6"/>
  <c r="K40" i="6"/>
  <c r="J40" i="6"/>
  <c r="L40" i="6" s="1"/>
  <c r="M40" i="6" s="1"/>
  <c r="I40" i="6"/>
  <c r="H40" i="6"/>
  <c r="G40" i="6"/>
  <c r="C40" i="6"/>
  <c r="O39" i="6"/>
  <c r="N39" i="6"/>
  <c r="K39" i="6"/>
  <c r="L39" i="6" s="1"/>
  <c r="M39" i="6" s="1"/>
  <c r="J39" i="6"/>
  <c r="I39" i="6"/>
  <c r="H39" i="6"/>
  <c r="G39" i="6"/>
  <c r="C39" i="6"/>
  <c r="O38" i="6"/>
  <c r="N38" i="6"/>
  <c r="K38" i="6"/>
  <c r="L38" i="6" s="1"/>
  <c r="M38" i="6" s="1"/>
  <c r="J38" i="6"/>
  <c r="I38" i="6"/>
  <c r="H38" i="6"/>
  <c r="G38" i="6"/>
  <c r="C38" i="6"/>
  <c r="O37" i="6"/>
  <c r="N37" i="6"/>
  <c r="K37" i="6"/>
  <c r="J37" i="6"/>
  <c r="I37" i="6"/>
  <c r="H37" i="6"/>
  <c r="G37" i="6"/>
  <c r="C37" i="6"/>
  <c r="O36" i="6"/>
  <c r="N36" i="6"/>
  <c r="K36" i="6"/>
  <c r="J36" i="6"/>
  <c r="I36" i="6"/>
  <c r="L36" i="6" s="1"/>
  <c r="M36" i="6" s="1"/>
  <c r="H36" i="6"/>
  <c r="G36" i="6"/>
  <c r="C36" i="6"/>
  <c r="O35" i="6"/>
  <c r="N35" i="6"/>
  <c r="K35" i="6"/>
  <c r="L35" i="6" s="1"/>
  <c r="M35" i="6" s="1"/>
  <c r="J35" i="6"/>
  <c r="I35" i="6"/>
  <c r="H35" i="6"/>
  <c r="G35" i="6"/>
  <c r="C35" i="6"/>
  <c r="O34" i="6"/>
  <c r="N34" i="6"/>
  <c r="K34" i="6"/>
  <c r="L34" i="6" s="1"/>
  <c r="M34" i="6" s="1"/>
  <c r="J34" i="6"/>
  <c r="I34" i="6"/>
  <c r="H34" i="6"/>
  <c r="G34" i="6"/>
  <c r="C34" i="6"/>
  <c r="O33" i="6"/>
  <c r="N33" i="6"/>
  <c r="L33" i="6"/>
  <c r="M33" i="6" s="1"/>
  <c r="K33" i="6"/>
  <c r="J33" i="6"/>
  <c r="I33" i="6"/>
  <c r="H33" i="6"/>
  <c r="G33" i="6"/>
  <c r="C33" i="6"/>
  <c r="O32" i="6"/>
  <c r="N32" i="6"/>
  <c r="K32" i="6"/>
  <c r="J32" i="6"/>
  <c r="I32" i="6"/>
  <c r="L32" i="6" s="1"/>
  <c r="M32" i="6" s="1"/>
  <c r="H32" i="6"/>
  <c r="G32" i="6"/>
  <c r="C32" i="6"/>
  <c r="O31" i="6"/>
  <c r="N31" i="6"/>
  <c r="K31" i="6"/>
  <c r="L31" i="6" s="1"/>
  <c r="M31" i="6" s="1"/>
  <c r="J31" i="6"/>
  <c r="I31" i="6"/>
  <c r="H31" i="6"/>
  <c r="G31" i="6"/>
  <c r="C31" i="6"/>
  <c r="O30" i="6"/>
  <c r="N30" i="6"/>
  <c r="K30" i="6"/>
  <c r="J30" i="6"/>
  <c r="I30" i="6"/>
  <c r="L30" i="6" s="1"/>
  <c r="M30" i="6" s="1"/>
  <c r="H30" i="6"/>
  <c r="G30" i="6"/>
  <c r="C30" i="6"/>
  <c r="O29" i="6"/>
  <c r="N29" i="6"/>
  <c r="K29" i="6"/>
  <c r="J29" i="6"/>
  <c r="I29" i="6"/>
  <c r="L29" i="6" s="1"/>
  <c r="M29" i="6" s="1"/>
  <c r="H29" i="6"/>
  <c r="G29" i="6"/>
  <c r="C29" i="6"/>
  <c r="O28" i="6"/>
  <c r="N28" i="6"/>
  <c r="K28" i="6"/>
  <c r="J28" i="6"/>
  <c r="L28" i="6" s="1"/>
  <c r="M28" i="6" s="1"/>
  <c r="I28" i="6"/>
  <c r="H28" i="6"/>
  <c r="G28" i="6"/>
  <c r="C28" i="6"/>
  <c r="O27" i="6"/>
  <c r="N27" i="6"/>
  <c r="K27" i="6"/>
  <c r="J27" i="6"/>
  <c r="L27" i="6" s="1"/>
  <c r="M27" i="6" s="1"/>
  <c r="I27" i="6"/>
  <c r="H27" i="6"/>
  <c r="G27" i="6"/>
  <c r="C27" i="6"/>
  <c r="O26" i="6"/>
  <c r="N26" i="6"/>
  <c r="K26" i="6"/>
  <c r="J26" i="6"/>
  <c r="I26" i="6"/>
  <c r="H26" i="6"/>
  <c r="G26" i="6"/>
  <c r="C26" i="6"/>
  <c r="O25" i="6"/>
  <c r="N25" i="6"/>
  <c r="K25" i="6"/>
  <c r="J25" i="6"/>
  <c r="L25" i="6" s="1"/>
  <c r="M25" i="6" s="1"/>
  <c r="I25" i="6"/>
  <c r="H25" i="6"/>
  <c r="G25" i="6"/>
  <c r="C25" i="6"/>
  <c r="O24" i="6"/>
  <c r="N24" i="6"/>
  <c r="K24" i="6"/>
  <c r="L24" i="6" s="1"/>
  <c r="M24" i="6" s="1"/>
  <c r="J24" i="6"/>
  <c r="I24" i="6"/>
  <c r="H24" i="6"/>
  <c r="G24" i="6"/>
  <c r="C24" i="6"/>
  <c r="O23" i="6"/>
  <c r="N23" i="6"/>
  <c r="K23" i="6"/>
  <c r="J23" i="6"/>
  <c r="I23" i="6"/>
  <c r="L23" i="6" s="1"/>
  <c r="M23" i="6" s="1"/>
  <c r="H23" i="6"/>
  <c r="G23" i="6"/>
  <c r="C23" i="6"/>
  <c r="O22" i="6"/>
  <c r="N22" i="6"/>
  <c r="M22" i="6"/>
  <c r="K22" i="6"/>
  <c r="J22" i="6"/>
  <c r="I22" i="6"/>
  <c r="L22" i="6" s="1"/>
  <c r="H22" i="6"/>
  <c r="G22" i="6"/>
  <c r="C22" i="6"/>
  <c r="O21" i="6"/>
  <c r="N21" i="6"/>
  <c r="K21" i="6"/>
  <c r="L21" i="6" s="1"/>
  <c r="M21" i="6" s="1"/>
  <c r="J21" i="6"/>
  <c r="I21" i="6"/>
  <c r="H21" i="6"/>
  <c r="G21" i="6"/>
  <c r="C21" i="6"/>
  <c r="O20" i="6"/>
  <c r="N20" i="6"/>
  <c r="K20" i="6"/>
  <c r="J20" i="6"/>
  <c r="I20" i="6"/>
  <c r="H20" i="6"/>
  <c r="G20" i="6"/>
  <c r="C20" i="6"/>
  <c r="O19" i="6"/>
  <c r="N19" i="6"/>
  <c r="K19" i="6"/>
  <c r="J19" i="6"/>
  <c r="I19" i="6"/>
  <c r="L19" i="6" s="1"/>
  <c r="M19" i="6" s="1"/>
  <c r="H19" i="6"/>
  <c r="G19" i="6"/>
  <c r="C19" i="6"/>
  <c r="O18" i="6"/>
  <c r="N18" i="6"/>
  <c r="K18" i="6"/>
  <c r="J18" i="6"/>
  <c r="I18" i="6"/>
  <c r="L18" i="6" s="1"/>
  <c r="M18" i="6" s="1"/>
  <c r="H18" i="6"/>
  <c r="G18" i="6"/>
  <c r="C18" i="6"/>
  <c r="O17" i="6"/>
  <c r="N17" i="6"/>
  <c r="L17" i="6"/>
  <c r="M17" i="6" s="1"/>
  <c r="K17" i="6"/>
  <c r="J17" i="6"/>
  <c r="I17" i="6"/>
  <c r="H17" i="6"/>
  <c r="G17" i="6"/>
  <c r="C17" i="6"/>
  <c r="O16" i="6"/>
  <c r="N16" i="6"/>
  <c r="K16" i="6"/>
  <c r="J16" i="6"/>
  <c r="I16" i="6"/>
  <c r="L16" i="6" s="1"/>
  <c r="M16" i="6" s="1"/>
  <c r="H16" i="6"/>
  <c r="G16" i="6"/>
  <c r="C16" i="6"/>
  <c r="O15" i="6"/>
  <c r="N15" i="6"/>
  <c r="K15" i="6"/>
  <c r="J15" i="6"/>
  <c r="I15" i="6"/>
  <c r="H15" i="6"/>
  <c r="G15" i="6"/>
  <c r="C15" i="6"/>
  <c r="O14" i="6"/>
  <c r="H14" i="6"/>
  <c r="G14" i="6"/>
  <c r="C14" i="6"/>
  <c r="N14" i="6" s="1"/>
  <c r="O13" i="6"/>
  <c r="D14" i="3" s="1"/>
  <c r="H13" i="6"/>
  <c r="G13" i="6"/>
  <c r="C13" i="6"/>
  <c r="N13" i="6" s="1"/>
  <c r="O12" i="6"/>
  <c r="H12" i="6"/>
  <c r="G12" i="6"/>
  <c r="C12" i="6"/>
  <c r="O11" i="6"/>
  <c r="H11" i="6"/>
  <c r="G11" i="6"/>
  <c r="C11" i="6"/>
  <c r="N11" i="6" s="1"/>
  <c r="O10" i="6"/>
  <c r="H10" i="6"/>
  <c r="N10" i="6" s="1"/>
  <c r="G10" i="6"/>
  <c r="C10" i="6"/>
  <c r="O9" i="6"/>
  <c r="H9" i="6"/>
  <c r="G9" i="6"/>
  <c r="N9" i="6" s="1"/>
  <c r="C9" i="6"/>
  <c r="O8" i="6"/>
  <c r="C11" i="3" s="1"/>
  <c r="H8" i="6"/>
  <c r="G8" i="6"/>
  <c r="C8" i="6"/>
  <c r="N8" i="6" s="1"/>
  <c r="O7" i="6"/>
  <c r="N7" i="6"/>
  <c r="H7" i="6"/>
  <c r="G7" i="6"/>
  <c r="C7" i="6"/>
  <c r="O6" i="6"/>
  <c r="H6" i="6"/>
  <c r="G6" i="6"/>
  <c r="C6" i="6"/>
  <c r="I15" i="5"/>
  <c r="H15" i="5"/>
  <c r="G15" i="5"/>
  <c r="J15" i="5" s="1"/>
  <c r="K15" i="5" s="1"/>
  <c r="F15" i="5"/>
  <c r="J14" i="5"/>
  <c r="K14" i="5" s="1"/>
  <c r="I14" i="5"/>
  <c r="H14" i="5"/>
  <c r="G14" i="5"/>
  <c r="F14" i="5"/>
  <c r="I13" i="5"/>
  <c r="H13" i="5"/>
  <c r="G13" i="5"/>
  <c r="F13" i="5"/>
  <c r="J12" i="5"/>
  <c r="K12" i="5" s="1"/>
  <c r="I12" i="5"/>
  <c r="H12" i="5"/>
  <c r="G12" i="5"/>
  <c r="F12" i="5"/>
  <c r="I11" i="5"/>
  <c r="H11" i="5"/>
  <c r="G11" i="5"/>
  <c r="F11" i="5"/>
  <c r="D27" i="4"/>
  <c r="C27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C19" i="4"/>
  <c r="C18" i="4"/>
  <c r="C17" i="4"/>
  <c r="C16" i="4"/>
  <c r="C15" i="4"/>
  <c r="C14" i="4"/>
  <c r="C13" i="4"/>
  <c r="B7" i="4"/>
  <c r="Y38" i="8" s="1"/>
  <c r="H4" i="3"/>
  <c r="A2" i="3"/>
  <c r="B29" i="2"/>
  <c r="N28" i="2"/>
  <c r="M28" i="2"/>
  <c r="J28" i="2"/>
  <c r="H28" i="2"/>
  <c r="G28" i="2"/>
  <c r="F28" i="2"/>
  <c r="B28" i="2"/>
  <c r="N27" i="2"/>
  <c r="J27" i="2"/>
  <c r="I27" i="2"/>
  <c r="B27" i="2"/>
  <c r="B26" i="2"/>
  <c r="D25" i="2"/>
  <c r="B25" i="2"/>
  <c r="B24" i="2"/>
  <c r="D23" i="2"/>
  <c r="B23" i="2"/>
  <c r="D22" i="2"/>
  <c r="B22" i="2"/>
  <c r="B21" i="2"/>
  <c r="B20" i="2"/>
  <c r="K16" i="2"/>
  <c r="J16" i="2"/>
  <c r="I16" i="2"/>
  <c r="H16" i="2"/>
  <c r="G16" i="2"/>
  <c r="F16" i="2"/>
  <c r="C16" i="2"/>
  <c r="B16" i="2"/>
  <c r="K15" i="2"/>
  <c r="J15" i="2"/>
  <c r="I15" i="2"/>
  <c r="H15" i="2"/>
  <c r="G15" i="2"/>
  <c r="F15" i="2"/>
  <c r="C15" i="2"/>
  <c r="B15" i="2"/>
  <c r="K14" i="2"/>
  <c r="J14" i="2"/>
  <c r="I14" i="2"/>
  <c r="H14" i="2"/>
  <c r="G14" i="2"/>
  <c r="F14" i="2"/>
  <c r="C14" i="2"/>
  <c r="B14" i="2"/>
  <c r="C13" i="2"/>
  <c r="B13" i="2"/>
  <c r="C12" i="2"/>
  <c r="B12" i="2"/>
  <c r="C11" i="2"/>
  <c r="B11" i="2"/>
  <c r="C10" i="2"/>
  <c r="B10" i="2"/>
  <c r="C9" i="2"/>
  <c r="B9" i="2"/>
  <c r="K5" i="2"/>
  <c r="B2" i="2"/>
  <c r="B1" i="2"/>
  <c r="F12" i="3" l="1"/>
  <c r="R54" i="10"/>
  <c r="AC54" i="8"/>
  <c r="AD54" i="8" s="1"/>
  <c r="D15" i="10"/>
  <c r="AE15" i="8"/>
  <c r="F13" i="12"/>
  <c r="J13" i="10" s="1"/>
  <c r="E13" i="12"/>
  <c r="I13" i="10" s="1"/>
  <c r="B13" i="12"/>
  <c r="F13" i="10" s="1"/>
  <c r="K13" i="12"/>
  <c r="O13" i="10" s="1"/>
  <c r="J13" i="12"/>
  <c r="N13" i="10" s="1"/>
  <c r="A13" i="12"/>
  <c r="B13" i="8"/>
  <c r="B13" i="10" s="1"/>
  <c r="AE13" i="8"/>
  <c r="X13" i="8"/>
  <c r="AA13" i="8" s="1"/>
  <c r="I13" i="8"/>
  <c r="M13" i="12" s="1"/>
  <c r="Q13" i="10" s="1"/>
  <c r="H13" i="8"/>
  <c r="G13" i="8"/>
  <c r="E13" i="10" s="1"/>
  <c r="I13" i="12"/>
  <c r="M13" i="10" s="1"/>
  <c r="F13" i="8"/>
  <c r="C13" i="8"/>
  <c r="C13" i="10" s="1"/>
  <c r="H13" i="12"/>
  <c r="L13" i="10" s="1"/>
  <c r="G13" i="12"/>
  <c r="K13" i="10" s="1"/>
  <c r="A13" i="10"/>
  <c r="Z13" i="8"/>
  <c r="X15" i="8"/>
  <c r="G29" i="12"/>
  <c r="K29" i="10" s="1"/>
  <c r="M61" i="12"/>
  <c r="Q61" i="10" s="1"/>
  <c r="F61" i="12"/>
  <c r="J61" i="10" s="1"/>
  <c r="D61" i="8"/>
  <c r="D61" i="10" s="1"/>
  <c r="E61" i="12"/>
  <c r="I61" i="10" s="1"/>
  <c r="C61" i="8"/>
  <c r="C61" i="10" s="1"/>
  <c r="Y61" i="8"/>
  <c r="F61" i="8"/>
  <c r="E61" i="8"/>
  <c r="H61" i="8"/>
  <c r="G61" i="8"/>
  <c r="E61" i="10" s="1"/>
  <c r="K61" i="12"/>
  <c r="O61" i="10" s="1"/>
  <c r="AE61" i="8"/>
  <c r="Z61" i="8"/>
  <c r="X61" i="8"/>
  <c r="AA61" i="8" s="1"/>
  <c r="I61" i="8"/>
  <c r="L61" i="12" s="1"/>
  <c r="P61" i="10" s="1"/>
  <c r="H61" i="12"/>
  <c r="L61" i="10" s="1"/>
  <c r="J61" i="12"/>
  <c r="N61" i="10" s="1"/>
  <c r="I61" i="12"/>
  <c r="M61" i="10" s="1"/>
  <c r="C61" i="12"/>
  <c r="G61" i="10" s="1"/>
  <c r="B61" i="12"/>
  <c r="F61" i="10" s="1"/>
  <c r="A61" i="10"/>
  <c r="C17" i="12"/>
  <c r="G17" i="10" s="1"/>
  <c r="B52" i="12"/>
  <c r="F52" i="10" s="1"/>
  <c r="D13" i="8"/>
  <c r="D13" i="10" s="1"/>
  <c r="Y15" i="8"/>
  <c r="AA50" i="8"/>
  <c r="B61" i="8"/>
  <c r="B61" i="10" s="1"/>
  <c r="I33" i="8"/>
  <c r="M33" i="12" s="1"/>
  <c r="Q33" i="10" s="1"/>
  <c r="C33" i="12"/>
  <c r="G33" i="10" s="1"/>
  <c r="A33" i="10"/>
  <c r="H33" i="12"/>
  <c r="L33" i="10" s="1"/>
  <c r="Y33" i="8"/>
  <c r="G33" i="12"/>
  <c r="K33" i="10" s="1"/>
  <c r="AE33" i="8"/>
  <c r="X33" i="8"/>
  <c r="K33" i="8"/>
  <c r="J33" i="8"/>
  <c r="H33" i="8"/>
  <c r="E33" i="8"/>
  <c r="A33" i="12"/>
  <c r="Z33" i="8"/>
  <c r="J18" i="12"/>
  <c r="N18" i="10" s="1"/>
  <c r="I18" i="12"/>
  <c r="M18" i="10" s="1"/>
  <c r="E18" i="12"/>
  <c r="I18" i="10" s="1"/>
  <c r="D18" i="12"/>
  <c r="H18" i="10" s="1"/>
  <c r="B18" i="12"/>
  <c r="F18" i="10" s="1"/>
  <c r="K18" i="12"/>
  <c r="O18" i="10" s="1"/>
  <c r="S18" i="10" s="1"/>
  <c r="D33" i="8"/>
  <c r="D33" i="10" s="1"/>
  <c r="S30" i="10"/>
  <c r="T30" i="10"/>
  <c r="D21" i="2"/>
  <c r="M38" i="12"/>
  <c r="Q38" i="10" s="1"/>
  <c r="L38" i="12"/>
  <c r="P38" i="10" s="1"/>
  <c r="I38" i="12"/>
  <c r="M38" i="10" s="1"/>
  <c r="G45" i="8"/>
  <c r="E45" i="10" s="1"/>
  <c r="B54" i="8"/>
  <c r="B54" i="10" s="1"/>
  <c r="H12" i="3"/>
  <c r="B8" i="4"/>
  <c r="G14" i="3"/>
  <c r="H16" i="3"/>
  <c r="B14" i="3"/>
  <c r="A14" i="3" s="1"/>
  <c r="D11" i="3"/>
  <c r="B15" i="3"/>
  <c r="A15" i="3" s="1"/>
  <c r="B12" i="3"/>
  <c r="A12" i="3" s="1"/>
  <c r="E16" i="3"/>
  <c r="D13" i="3"/>
  <c r="D16" i="3"/>
  <c r="C13" i="3"/>
  <c r="C16" i="3"/>
  <c r="B13" i="3"/>
  <c r="A13" i="3" s="1"/>
  <c r="H15" i="3"/>
  <c r="G12" i="3"/>
  <c r="H14" i="3"/>
  <c r="H13" i="3"/>
  <c r="D12" i="3"/>
  <c r="G16" i="3"/>
  <c r="C12" i="3"/>
  <c r="B16" i="3"/>
  <c r="A16" i="3" s="1"/>
  <c r="F16" i="3"/>
  <c r="F11" i="3"/>
  <c r="G15" i="3"/>
  <c r="E11" i="3"/>
  <c r="E15" i="3"/>
  <c r="B11" i="3"/>
  <c r="A11" i="3" s="1"/>
  <c r="D15" i="3"/>
  <c r="Y10" i="8"/>
  <c r="G31" i="12"/>
  <c r="K31" i="10" s="1"/>
  <c r="F31" i="12"/>
  <c r="J31" i="10" s="1"/>
  <c r="E31" i="12"/>
  <c r="I31" i="10" s="1"/>
  <c r="D31" i="12"/>
  <c r="H31" i="10" s="1"/>
  <c r="L31" i="12"/>
  <c r="P31" i="10" s="1"/>
  <c r="H56" i="12"/>
  <c r="L56" i="10" s="1"/>
  <c r="F56" i="12"/>
  <c r="J56" i="10" s="1"/>
  <c r="E56" i="12"/>
  <c r="I56" i="10" s="1"/>
  <c r="D56" i="12"/>
  <c r="H56" i="10" s="1"/>
  <c r="J56" i="12"/>
  <c r="N56" i="10" s="1"/>
  <c r="I56" i="12"/>
  <c r="M56" i="10" s="1"/>
  <c r="B56" i="12"/>
  <c r="F56" i="10" s="1"/>
  <c r="L56" i="12"/>
  <c r="P56" i="10" s="1"/>
  <c r="K56" i="12"/>
  <c r="O56" i="10" s="1"/>
  <c r="C56" i="12"/>
  <c r="G56" i="10" s="1"/>
  <c r="D23" i="10"/>
  <c r="H58" i="12"/>
  <c r="L58" i="10" s="1"/>
  <c r="D54" i="8"/>
  <c r="D54" i="10" s="1"/>
  <c r="J45" i="8"/>
  <c r="R63" i="10"/>
  <c r="D29" i="2"/>
  <c r="M29" i="2"/>
  <c r="N29" i="2"/>
  <c r="J29" i="2"/>
  <c r="I29" i="2"/>
  <c r="K29" i="2" s="1"/>
  <c r="L29" i="2" s="1"/>
  <c r="H29" i="2"/>
  <c r="F29" i="2"/>
  <c r="E29" i="2"/>
  <c r="C58" i="12"/>
  <c r="G58" i="10" s="1"/>
  <c r="M7" i="12"/>
  <c r="Q7" i="10" s="1"/>
  <c r="J7" i="12"/>
  <c r="N7" i="10" s="1"/>
  <c r="I7" i="12"/>
  <c r="M7" i="10" s="1"/>
  <c r="E7" i="12"/>
  <c r="I7" i="10" s="1"/>
  <c r="D7" i="12"/>
  <c r="H7" i="10" s="1"/>
  <c r="C7" i="12"/>
  <c r="G7" i="10" s="1"/>
  <c r="H10" i="8"/>
  <c r="M29" i="12"/>
  <c r="Q29" i="10" s="1"/>
  <c r="I29" i="12"/>
  <c r="M29" i="10" s="1"/>
  <c r="B29" i="12"/>
  <c r="F29" i="10" s="1"/>
  <c r="F29" i="12"/>
  <c r="J29" i="10" s="1"/>
  <c r="D29" i="12"/>
  <c r="H29" i="10" s="1"/>
  <c r="N21" i="2"/>
  <c r="M21" i="2"/>
  <c r="E12" i="3"/>
  <c r="D31" i="10"/>
  <c r="AE31" i="8"/>
  <c r="X20" i="8"/>
  <c r="L4" i="8"/>
  <c r="X9" i="8"/>
  <c r="X19" i="8"/>
  <c r="Y42" i="8"/>
  <c r="Y30" i="8"/>
  <c r="AA30" i="8" s="1"/>
  <c r="Y19" i="8"/>
  <c r="Y8" i="8"/>
  <c r="Y55" i="8"/>
  <c r="AA55" i="8" s="1"/>
  <c r="Y52" i="8"/>
  <c r="AA52" i="8" s="1"/>
  <c r="Y31" i="8"/>
  <c r="Y41" i="8"/>
  <c r="AA41" i="8" s="1"/>
  <c r="Y9" i="8"/>
  <c r="X14" i="8"/>
  <c r="Y48" i="8"/>
  <c r="AA48" i="8" s="1"/>
  <c r="Y62" i="8"/>
  <c r="AA62" i="8" s="1"/>
  <c r="Y26" i="8"/>
  <c r="X26" i="8"/>
  <c r="Y18" i="8"/>
  <c r="Y7" i="8"/>
  <c r="X18" i="8"/>
  <c r="X7" i="8"/>
  <c r="Y35" i="8"/>
  <c r="Y56" i="8"/>
  <c r="AA56" i="8" s="1"/>
  <c r="X23" i="8"/>
  <c r="K10" i="8"/>
  <c r="G33" i="8"/>
  <c r="E33" i="10" s="1"/>
  <c r="H45" i="8"/>
  <c r="Y40" i="8"/>
  <c r="G54" i="8"/>
  <c r="E54" i="10" s="1"/>
  <c r="B59" i="12"/>
  <c r="F59" i="10" s="1"/>
  <c r="A59" i="12"/>
  <c r="A59" i="10"/>
  <c r="E59" i="12"/>
  <c r="I59" i="10" s="1"/>
  <c r="AE59" i="8"/>
  <c r="D59" i="12"/>
  <c r="H59" i="10" s="1"/>
  <c r="K59" i="8"/>
  <c r="K59" i="12"/>
  <c r="O59" i="10" s="1"/>
  <c r="J59" i="12"/>
  <c r="N59" i="10" s="1"/>
  <c r="Z59" i="8"/>
  <c r="F59" i="12"/>
  <c r="J59" i="10" s="1"/>
  <c r="X59" i="8"/>
  <c r="J59" i="8"/>
  <c r="E59" i="8"/>
  <c r="Y59" i="8"/>
  <c r="I59" i="8"/>
  <c r="G59" i="12" s="1"/>
  <c r="K59" i="10" s="1"/>
  <c r="I59" i="12"/>
  <c r="M59" i="10" s="1"/>
  <c r="H59" i="8"/>
  <c r="D59" i="8"/>
  <c r="D59" i="10" s="1"/>
  <c r="G59" i="8"/>
  <c r="E59" i="10" s="1"/>
  <c r="F59" i="8"/>
  <c r="C59" i="8"/>
  <c r="C59" i="10" s="1"/>
  <c r="B59" i="8"/>
  <c r="B59" i="10" s="1"/>
  <c r="E13" i="3"/>
  <c r="AA35" i="8"/>
  <c r="AA42" i="8"/>
  <c r="K45" i="8"/>
  <c r="G29" i="2"/>
  <c r="F13" i="3"/>
  <c r="D14" i="4"/>
  <c r="A11" i="10"/>
  <c r="I11" i="8"/>
  <c r="M11" i="12"/>
  <c r="Q11" i="10" s="1"/>
  <c r="E11" i="8"/>
  <c r="C11" i="12"/>
  <c r="G11" i="10" s="1"/>
  <c r="B11" i="12"/>
  <c r="F11" i="10" s="1"/>
  <c r="A11" i="12"/>
  <c r="Z11" i="8"/>
  <c r="Y11" i="8"/>
  <c r="J11" i="8"/>
  <c r="AE11" i="8"/>
  <c r="X11" i="8"/>
  <c r="AA11" i="8" s="1"/>
  <c r="H11" i="8"/>
  <c r="G11" i="8"/>
  <c r="E11" i="10" s="1"/>
  <c r="F11" i="8"/>
  <c r="G13" i="3"/>
  <c r="R21" i="7"/>
  <c r="D21" i="8"/>
  <c r="D21" i="10" s="1"/>
  <c r="B11" i="8"/>
  <c r="B11" i="10" s="1"/>
  <c r="C14" i="3"/>
  <c r="J13" i="5"/>
  <c r="K13" i="5" s="1"/>
  <c r="L65" i="6"/>
  <c r="M65" i="6" s="1"/>
  <c r="L8" i="12"/>
  <c r="P8" i="10" s="1"/>
  <c r="K8" i="12"/>
  <c r="O8" i="10" s="1"/>
  <c r="F8" i="12"/>
  <c r="J8" i="10" s="1"/>
  <c r="J8" i="12"/>
  <c r="N8" i="10" s="1"/>
  <c r="H8" i="12"/>
  <c r="L8" i="10" s="1"/>
  <c r="G8" i="12"/>
  <c r="K8" i="10" s="1"/>
  <c r="C8" i="12"/>
  <c r="G8" i="10" s="1"/>
  <c r="C11" i="8"/>
  <c r="C11" i="10" s="1"/>
  <c r="K36" i="12"/>
  <c r="O36" i="10" s="1"/>
  <c r="A36" i="10"/>
  <c r="F36" i="8"/>
  <c r="Y36" i="8"/>
  <c r="H36" i="8"/>
  <c r="Z36" i="8"/>
  <c r="J36" i="8"/>
  <c r="I36" i="8"/>
  <c r="I36" i="12" s="1"/>
  <c r="M36" i="10" s="1"/>
  <c r="G36" i="8"/>
  <c r="E36" i="10" s="1"/>
  <c r="E36" i="8"/>
  <c r="B36" i="8"/>
  <c r="B36" i="10" s="1"/>
  <c r="L36" i="12"/>
  <c r="P36" i="10" s="1"/>
  <c r="G36" i="12"/>
  <c r="K36" i="10" s="1"/>
  <c r="J36" i="12"/>
  <c r="N36" i="10" s="1"/>
  <c r="D36" i="8"/>
  <c r="B36" i="12"/>
  <c r="F36" i="10" s="1"/>
  <c r="G11" i="12"/>
  <c r="K11" i="10" s="1"/>
  <c r="H59" i="12"/>
  <c r="L59" i="10" s="1"/>
  <c r="D35" i="10"/>
  <c r="AE35" i="8"/>
  <c r="R65" i="10"/>
  <c r="AC65" i="8"/>
  <c r="AD65" i="8" s="1"/>
  <c r="B33" i="8"/>
  <c r="B33" i="10" s="1"/>
  <c r="A45" i="10"/>
  <c r="B45" i="12"/>
  <c r="F45" i="10" s="1"/>
  <c r="F45" i="12"/>
  <c r="J45" i="10" s="1"/>
  <c r="Y45" i="8"/>
  <c r="E45" i="12"/>
  <c r="I45" i="10" s="1"/>
  <c r="X45" i="8"/>
  <c r="AA45" i="8" s="1"/>
  <c r="J45" i="12"/>
  <c r="N45" i="10" s="1"/>
  <c r="I45" i="12"/>
  <c r="M45" i="10" s="1"/>
  <c r="C45" i="12"/>
  <c r="G45" i="10" s="1"/>
  <c r="B45" i="8"/>
  <c r="B45" i="10" s="1"/>
  <c r="A45" i="12"/>
  <c r="AE45" i="8"/>
  <c r="I45" i="8"/>
  <c r="H45" i="12" s="1"/>
  <c r="L45" i="10" s="1"/>
  <c r="D45" i="8"/>
  <c r="D45" i="10" s="1"/>
  <c r="C45" i="8"/>
  <c r="C45" i="10" s="1"/>
  <c r="Z45" i="8"/>
  <c r="R30" i="10"/>
  <c r="AC30" i="8"/>
  <c r="AD30" i="8" s="1"/>
  <c r="M63" i="12"/>
  <c r="Q63" i="10" s="1"/>
  <c r="D63" i="12"/>
  <c r="H63" i="10" s="1"/>
  <c r="K63" i="12"/>
  <c r="O63" i="10" s="1"/>
  <c r="H63" i="12"/>
  <c r="L63" i="10" s="1"/>
  <c r="C63" i="12"/>
  <c r="G63" i="10" s="1"/>
  <c r="A10" i="12"/>
  <c r="X10" i="8"/>
  <c r="AA10" i="8" s="1"/>
  <c r="E10" i="8"/>
  <c r="A10" i="10"/>
  <c r="G10" i="12"/>
  <c r="K10" i="10" s="1"/>
  <c r="F10" i="8"/>
  <c r="D10" i="8"/>
  <c r="D10" i="10" s="1"/>
  <c r="C10" i="8"/>
  <c r="C10" i="10" s="1"/>
  <c r="B10" i="8"/>
  <c r="B10" i="10" s="1"/>
  <c r="G10" i="8"/>
  <c r="E10" i="10" s="1"/>
  <c r="I10" i="8"/>
  <c r="B10" i="12" s="1"/>
  <c r="F10" i="10" s="1"/>
  <c r="C33" i="8"/>
  <c r="C33" i="10" s="1"/>
  <c r="AC53" i="8"/>
  <c r="AD53" i="8" s="1"/>
  <c r="R53" i="10"/>
  <c r="E45" i="8"/>
  <c r="A54" i="12"/>
  <c r="M54" i="12"/>
  <c r="Q54" i="10" s="1"/>
  <c r="G54" i="12"/>
  <c r="K54" i="10" s="1"/>
  <c r="Y54" i="8"/>
  <c r="L54" i="12"/>
  <c r="P54" i="10" s="1"/>
  <c r="F54" i="8"/>
  <c r="K54" i="12"/>
  <c r="O54" i="10" s="1"/>
  <c r="E54" i="8"/>
  <c r="AE54" i="8"/>
  <c r="X54" i="8"/>
  <c r="A54" i="10"/>
  <c r="K54" i="8"/>
  <c r="J54" i="8"/>
  <c r="I54" i="8"/>
  <c r="H54" i="12" s="1"/>
  <c r="L54" i="10" s="1"/>
  <c r="H54" i="8"/>
  <c r="I54" i="12"/>
  <c r="M54" i="10" s="1"/>
  <c r="C54" i="8"/>
  <c r="C54" i="10" s="1"/>
  <c r="J54" i="12"/>
  <c r="N54" i="10" s="1"/>
  <c r="F54" i="12"/>
  <c r="J54" i="10" s="1"/>
  <c r="E54" i="12"/>
  <c r="I54" i="10" s="1"/>
  <c r="D54" i="12"/>
  <c r="H54" i="10" s="1"/>
  <c r="E14" i="3"/>
  <c r="G19" i="12"/>
  <c r="K19" i="10" s="1"/>
  <c r="F19" i="12"/>
  <c r="J19" i="10" s="1"/>
  <c r="E19" i="12"/>
  <c r="I19" i="10" s="1"/>
  <c r="AA46" i="8"/>
  <c r="D25" i="8"/>
  <c r="D25" i="10" s="1"/>
  <c r="AC64" i="8"/>
  <c r="AD64" i="8" s="1"/>
  <c r="R64" i="10"/>
  <c r="D19" i="4"/>
  <c r="X12" i="8"/>
  <c r="Y27" i="8"/>
  <c r="AA60" i="8"/>
  <c r="A61" i="12"/>
  <c r="C15" i="3"/>
  <c r="L20" i="6"/>
  <c r="M20" i="6" s="1"/>
  <c r="R6" i="7"/>
  <c r="D15" i="4"/>
  <c r="D16" i="4"/>
  <c r="D13" i="4"/>
  <c r="D17" i="4"/>
  <c r="D18" i="4"/>
  <c r="X17" i="8"/>
  <c r="AA17" i="8" s="1"/>
  <c r="D47" i="12"/>
  <c r="H47" i="10" s="1"/>
  <c r="C47" i="12"/>
  <c r="G47" i="10" s="1"/>
  <c r="A47" i="10"/>
  <c r="F47" i="8"/>
  <c r="K47" i="12"/>
  <c r="O47" i="10" s="1"/>
  <c r="J47" i="12"/>
  <c r="N47" i="10" s="1"/>
  <c r="M47" i="12"/>
  <c r="Q47" i="10" s="1"/>
  <c r="G47" i="12"/>
  <c r="K47" i="10" s="1"/>
  <c r="K47" i="8"/>
  <c r="H47" i="8"/>
  <c r="G47" i="8"/>
  <c r="E47" i="10" s="1"/>
  <c r="A47" i="12"/>
  <c r="Y47" i="8"/>
  <c r="AA47" i="8" s="1"/>
  <c r="I47" i="12"/>
  <c r="M47" i="10" s="1"/>
  <c r="Z47" i="8"/>
  <c r="D47" i="8"/>
  <c r="D47" i="10" s="1"/>
  <c r="C47" i="8"/>
  <c r="C47" i="10" s="1"/>
  <c r="L47" i="12"/>
  <c r="P47" i="10" s="1"/>
  <c r="H47" i="12"/>
  <c r="L47" i="10" s="1"/>
  <c r="B47" i="8"/>
  <c r="B47" i="10" s="1"/>
  <c r="Y60" i="8"/>
  <c r="AA36" i="8"/>
  <c r="J10" i="8"/>
  <c r="D10" i="12" s="1"/>
  <c r="H10" i="10" s="1"/>
  <c r="C23" i="12"/>
  <c r="G23" i="10" s="1"/>
  <c r="M23" i="12"/>
  <c r="Q23" i="10" s="1"/>
  <c r="I23" i="12"/>
  <c r="M23" i="10" s="1"/>
  <c r="E23" i="12"/>
  <c r="I23" i="10" s="1"/>
  <c r="F33" i="8"/>
  <c r="L40" i="12"/>
  <c r="P40" i="10" s="1"/>
  <c r="F45" i="8"/>
  <c r="H7" i="12"/>
  <c r="L7" i="10" s="1"/>
  <c r="M21" i="12"/>
  <c r="Q21" i="10" s="1"/>
  <c r="J21" i="12"/>
  <c r="N21" i="10" s="1"/>
  <c r="B21" i="12"/>
  <c r="F21" i="10" s="1"/>
  <c r="I21" i="12"/>
  <c r="M21" i="10" s="1"/>
  <c r="G21" i="12"/>
  <c r="K21" i="10" s="1"/>
  <c r="R52" i="10"/>
  <c r="AC52" i="8"/>
  <c r="AD52" i="8" s="1"/>
  <c r="L45" i="12"/>
  <c r="P45" i="10" s="1"/>
  <c r="Y64" i="8"/>
  <c r="AA64" i="8" s="1"/>
  <c r="F14" i="3"/>
  <c r="X27" i="8"/>
  <c r="AA27" i="8" s="1"/>
  <c r="F15" i="3"/>
  <c r="X25" i="8"/>
  <c r="D7" i="10"/>
  <c r="AE7" i="8"/>
  <c r="L15" i="12"/>
  <c r="P15" i="10" s="1"/>
  <c r="M15" i="12"/>
  <c r="Q15" i="10" s="1"/>
  <c r="A28" i="12"/>
  <c r="AE28" i="8"/>
  <c r="K28" i="8"/>
  <c r="Y28" i="8"/>
  <c r="G28" i="8"/>
  <c r="E28" i="10" s="1"/>
  <c r="E28" i="8"/>
  <c r="D28" i="8"/>
  <c r="D28" i="10" s="1"/>
  <c r="A28" i="10"/>
  <c r="I28" i="8"/>
  <c r="L28" i="12" s="1"/>
  <c r="P28" i="10" s="1"/>
  <c r="H28" i="8"/>
  <c r="X28" i="8"/>
  <c r="J28" i="8"/>
  <c r="F28" i="8"/>
  <c r="C28" i="8"/>
  <c r="C28" i="10" s="1"/>
  <c r="B28" i="8"/>
  <c r="B28" i="10" s="1"/>
  <c r="A37" i="12"/>
  <c r="A37" i="10"/>
  <c r="J37" i="8"/>
  <c r="M37" i="12" s="1"/>
  <c r="Q37" i="10" s="1"/>
  <c r="C37" i="8"/>
  <c r="C37" i="10" s="1"/>
  <c r="E37" i="12"/>
  <c r="I37" i="10" s="1"/>
  <c r="D37" i="12"/>
  <c r="H37" i="10" s="1"/>
  <c r="C37" i="12"/>
  <c r="G37" i="10" s="1"/>
  <c r="Z37" i="8"/>
  <c r="H37" i="12"/>
  <c r="L37" i="10" s="1"/>
  <c r="AE37" i="8"/>
  <c r="Y37" i="8"/>
  <c r="G37" i="8"/>
  <c r="E37" i="10" s="1"/>
  <c r="F37" i="8"/>
  <c r="X37" i="8"/>
  <c r="K37" i="8"/>
  <c r="I37" i="8"/>
  <c r="B37" i="12" s="1"/>
  <c r="F37" i="10" s="1"/>
  <c r="H37" i="8"/>
  <c r="I47" i="8"/>
  <c r="F47" i="12" s="1"/>
  <c r="J47" i="10" s="1"/>
  <c r="D25" i="12"/>
  <c r="H25" i="10" s="1"/>
  <c r="C25" i="12"/>
  <c r="G25" i="10" s="1"/>
  <c r="A25" i="10"/>
  <c r="H25" i="12"/>
  <c r="L25" i="10" s="1"/>
  <c r="F25" i="8"/>
  <c r="M25" i="12"/>
  <c r="Q25" i="10" s="1"/>
  <c r="L25" i="12"/>
  <c r="P25" i="10" s="1"/>
  <c r="K25" i="12"/>
  <c r="O25" i="10" s="1"/>
  <c r="AE25" i="8"/>
  <c r="J25" i="12"/>
  <c r="N25" i="10" s="1"/>
  <c r="E25" i="12"/>
  <c r="I25" i="10" s="1"/>
  <c r="Y25" i="8"/>
  <c r="B25" i="12"/>
  <c r="F25" i="10" s="1"/>
  <c r="H25" i="8"/>
  <c r="F25" i="12" s="1"/>
  <c r="J25" i="10" s="1"/>
  <c r="G25" i="8"/>
  <c r="E25" i="10" s="1"/>
  <c r="I25" i="12"/>
  <c r="M25" i="10" s="1"/>
  <c r="A25" i="12"/>
  <c r="K25" i="8"/>
  <c r="G25" i="12"/>
  <c r="K25" i="10" s="1"/>
  <c r="E25" i="8"/>
  <c r="AA40" i="8"/>
  <c r="K42" i="12"/>
  <c r="O42" i="10" s="1"/>
  <c r="H42" i="12"/>
  <c r="L42" i="10" s="1"/>
  <c r="G42" i="12"/>
  <c r="K42" i="10" s="1"/>
  <c r="F42" i="12"/>
  <c r="J42" i="10" s="1"/>
  <c r="D42" i="12"/>
  <c r="H42" i="10" s="1"/>
  <c r="E42" i="12"/>
  <c r="I42" i="10" s="1"/>
  <c r="R60" i="10"/>
  <c r="AC60" i="8"/>
  <c r="AD60" i="8" s="1"/>
  <c r="L59" i="6"/>
  <c r="M59" i="6" s="1"/>
  <c r="K16" i="12"/>
  <c r="O16" i="10" s="1"/>
  <c r="A16" i="10"/>
  <c r="G16" i="8"/>
  <c r="E16" i="10" s="1"/>
  <c r="X16" i="8"/>
  <c r="F16" i="8"/>
  <c r="Y16" i="8"/>
  <c r="K16" i="8"/>
  <c r="J16" i="8"/>
  <c r="E16" i="8"/>
  <c r="A16" i="12"/>
  <c r="C16" i="8"/>
  <c r="C16" i="10" s="1"/>
  <c r="E48" i="12"/>
  <c r="I48" i="10" s="1"/>
  <c r="B16" i="8"/>
  <c r="B16" i="10" s="1"/>
  <c r="AA31" i="8"/>
  <c r="M46" i="12"/>
  <c r="Q46" i="10" s="1"/>
  <c r="K46" i="12"/>
  <c r="O46" i="10" s="1"/>
  <c r="J46" i="12"/>
  <c r="N46" i="10" s="1"/>
  <c r="A46" i="10"/>
  <c r="C46" i="12"/>
  <c r="G46" i="10" s="1"/>
  <c r="B46" i="12"/>
  <c r="F46" i="10" s="1"/>
  <c r="B46" i="8"/>
  <c r="B46" i="10" s="1"/>
  <c r="I46" i="8"/>
  <c r="D46" i="8"/>
  <c r="H46" i="8"/>
  <c r="G46" i="8"/>
  <c r="E46" i="10" s="1"/>
  <c r="F46" i="8"/>
  <c r="L46" i="12"/>
  <c r="P46" i="10" s="1"/>
  <c r="E46" i="8"/>
  <c r="F46" i="12"/>
  <c r="J46" i="10" s="1"/>
  <c r="D46" i="12"/>
  <c r="H46" i="10" s="1"/>
  <c r="A46" i="12"/>
  <c r="R46" i="10"/>
  <c r="A51" i="12"/>
  <c r="A51" i="10"/>
  <c r="Z51" i="8"/>
  <c r="I51" i="8"/>
  <c r="G51" i="12" s="1"/>
  <c r="K51" i="10" s="1"/>
  <c r="H51" i="8"/>
  <c r="G51" i="8"/>
  <c r="E51" i="10" s="1"/>
  <c r="F51" i="8"/>
  <c r="C51" i="8"/>
  <c r="C51" i="10" s="1"/>
  <c r="K51" i="12"/>
  <c r="O51" i="10" s="1"/>
  <c r="X51" i="8"/>
  <c r="J51" i="12"/>
  <c r="N51" i="10" s="1"/>
  <c r="K51" i="8"/>
  <c r="B51" i="8"/>
  <c r="B51" i="10" s="1"/>
  <c r="F27" i="2"/>
  <c r="M27" i="2"/>
  <c r="B22" i="12"/>
  <c r="F22" i="10" s="1"/>
  <c r="A22" i="12"/>
  <c r="E22" i="12"/>
  <c r="I22" i="10" s="1"/>
  <c r="I22" i="8"/>
  <c r="L22" i="12" s="1"/>
  <c r="P22" i="10" s="1"/>
  <c r="M22" i="12"/>
  <c r="Q22" i="10" s="1"/>
  <c r="F22" i="12"/>
  <c r="J22" i="10" s="1"/>
  <c r="J22" i="8"/>
  <c r="H22" i="8"/>
  <c r="C22" i="12"/>
  <c r="G22" i="10" s="1"/>
  <c r="Y22" i="8"/>
  <c r="X22" i="8"/>
  <c r="AA22" i="8" s="1"/>
  <c r="F22" i="8"/>
  <c r="F7" i="5" s="1"/>
  <c r="F10" i="2" s="1"/>
  <c r="M42" i="12"/>
  <c r="Q42" i="10" s="1"/>
  <c r="D51" i="8"/>
  <c r="S62" i="10"/>
  <c r="T62" i="10"/>
  <c r="C12" i="8"/>
  <c r="C12" i="10" s="1"/>
  <c r="AE16" i="8"/>
  <c r="B22" i="8"/>
  <c r="B22" i="10" s="1"/>
  <c r="I24" i="8"/>
  <c r="G24" i="12" s="1"/>
  <c r="K24" i="10" s="1"/>
  <c r="J30" i="12"/>
  <c r="N30" i="10" s="1"/>
  <c r="I30" i="12"/>
  <c r="M30" i="10" s="1"/>
  <c r="H30" i="12"/>
  <c r="L30" i="10" s="1"/>
  <c r="G30" i="12"/>
  <c r="K30" i="10" s="1"/>
  <c r="B30" i="12"/>
  <c r="F30" i="10" s="1"/>
  <c r="E51" i="8"/>
  <c r="E27" i="2"/>
  <c r="L48" i="6"/>
  <c r="M48" i="6" s="1"/>
  <c r="L55" i="6"/>
  <c r="M55" i="6" s="1"/>
  <c r="K17" i="12"/>
  <c r="O17" i="10" s="1"/>
  <c r="J17" i="12"/>
  <c r="N17" i="10" s="1"/>
  <c r="D17" i="12"/>
  <c r="H17" i="10" s="1"/>
  <c r="F17" i="12"/>
  <c r="J17" i="10" s="1"/>
  <c r="AE17" i="8"/>
  <c r="K17" i="8"/>
  <c r="L17" i="12"/>
  <c r="P17" i="10" s="1"/>
  <c r="I17" i="12"/>
  <c r="M17" i="10" s="1"/>
  <c r="H17" i="12"/>
  <c r="L17" i="10" s="1"/>
  <c r="G17" i="12"/>
  <c r="K17" i="10" s="1"/>
  <c r="A17" i="12"/>
  <c r="Y17" i="8"/>
  <c r="M17" i="12"/>
  <c r="Q17" i="10" s="1"/>
  <c r="A17" i="10"/>
  <c r="B17" i="12"/>
  <c r="F17" i="10" s="1"/>
  <c r="C22" i="8"/>
  <c r="C22" i="10" s="1"/>
  <c r="Y46" i="8"/>
  <c r="A49" i="12"/>
  <c r="Z49" i="8"/>
  <c r="G49" i="8"/>
  <c r="E49" i="10" s="1"/>
  <c r="F49" i="8"/>
  <c r="E49" i="8"/>
  <c r="L49" i="12"/>
  <c r="P49" i="10" s="1"/>
  <c r="D49" i="12"/>
  <c r="H49" i="10" s="1"/>
  <c r="C49" i="12"/>
  <c r="G49" i="10" s="1"/>
  <c r="A49" i="10"/>
  <c r="Y49" i="8"/>
  <c r="X49" i="8"/>
  <c r="I49" i="8"/>
  <c r="H49" i="8"/>
  <c r="D49" i="8"/>
  <c r="J51" i="8"/>
  <c r="B51" i="12" s="1"/>
  <c r="F51" i="10" s="1"/>
  <c r="L55" i="12"/>
  <c r="P55" i="10" s="1"/>
  <c r="M55" i="12"/>
  <c r="Q55" i="10" s="1"/>
  <c r="K55" i="12"/>
  <c r="O55" i="10" s="1"/>
  <c r="H55" i="12"/>
  <c r="L55" i="10" s="1"/>
  <c r="G55" i="12"/>
  <c r="K55" i="10" s="1"/>
  <c r="E55" i="12"/>
  <c r="I55" i="10" s="1"/>
  <c r="C55" i="12"/>
  <c r="G55" i="10" s="1"/>
  <c r="A22" i="10"/>
  <c r="D35" i="12"/>
  <c r="H35" i="10" s="1"/>
  <c r="F49" i="12"/>
  <c r="J49" i="10" s="1"/>
  <c r="M24" i="12"/>
  <c r="Q24" i="10" s="1"/>
  <c r="K24" i="12"/>
  <c r="O24" i="10" s="1"/>
  <c r="B24" i="12"/>
  <c r="F24" i="10" s="1"/>
  <c r="A24" i="12"/>
  <c r="B24" i="8"/>
  <c r="B24" i="10" s="1"/>
  <c r="A24" i="10"/>
  <c r="X24" i="8"/>
  <c r="G24" i="8"/>
  <c r="E24" i="10" s="1"/>
  <c r="H24" i="8"/>
  <c r="F24" i="8"/>
  <c r="E24" i="8"/>
  <c r="D24" i="8"/>
  <c r="D24" i="10" s="1"/>
  <c r="D6" i="9"/>
  <c r="R20" i="7"/>
  <c r="M20" i="12"/>
  <c r="Q20" i="10" s="1"/>
  <c r="K20" i="12"/>
  <c r="O20" i="10" s="1"/>
  <c r="D22" i="8"/>
  <c r="D22" i="10" s="1"/>
  <c r="K24" i="8"/>
  <c r="I44" i="12"/>
  <c r="M44" i="10" s="1"/>
  <c r="C44" i="12"/>
  <c r="G44" i="10" s="1"/>
  <c r="I44" i="8"/>
  <c r="G44" i="12" s="1"/>
  <c r="K44" i="10" s="1"/>
  <c r="H44" i="8"/>
  <c r="H44" i="12"/>
  <c r="L44" i="10" s="1"/>
  <c r="Z44" i="8"/>
  <c r="E44" i="8"/>
  <c r="D44" i="8"/>
  <c r="Y44" i="8"/>
  <c r="X44" i="8"/>
  <c r="AA44" i="8" s="1"/>
  <c r="K44" i="8"/>
  <c r="J44" i="8"/>
  <c r="C44" i="8"/>
  <c r="C44" i="10" s="1"/>
  <c r="A44" i="10"/>
  <c r="K44" i="12"/>
  <c r="O44" i="10" s="1"/>
  <c r="Y51" i="8"/>
  <c r="J22" i="12"/>
  <c r="N22" i="10" s="1"/>
  <c r="I35" i="12"/>
  <c r="M35" i="10" s="1"/>
  <c r="L42" i="12"/>
  <c r="P42" i="10" s="1"/>
  <c r="G49" i="12"/>
  <c r="K49" i="10" s="1"/>
  <c r="M12" i="12"/>
  <c r="Q12" i="10" s="1"/>
  <c r="H12" i="12"/>
  <c r="L12" i="10" s="1"/>
  <c r="A12" i="12"/>
  <c r="Y12" i="8"/>
  <c r="K12" i="8"/>
  <c r="F12" i="8"/>
  <c r="H12" i="8"/>
  <c r="A12" i="10"/>
  <c r="G12" i="8"/>
  <c r="E12" i="10" s="1"/>
  <c r="E12" i="8"/>
  <c r="L12" i="12"/>
  <c r="P12" i="10" s="1"/>
  <c r="B12" i="8"/>
  <c r="B12" i="10" s="1"/>
  <c r="D20" i="10"/>
  <c r="C24" i="8"/>
  <c r="C24" i="10" s="1"/>
  <c r="AC43" i="8"/>
  <c r="AD43" i="8" s="1"/>
  <c r="R48" i="10"/>
  <c r="AC48" i="8"/>
  <c r="AD48" i="8" s="1"/>
  <c r="H62" i="12"/>
  <c r="L62" i="10" s="1"/>
  <c r="K62" i="12"/>
  <c r="O62" i="10" s="1"/>
  <c r="J62" i="12"/>
  <c r="N62" i="10" s="1"/>
  <c r="D27" i="2"/>
  <c r="G27" i="2"/>
  <c r="L15" i="6"/>
  <c r="M15" i="6" s="1"/>
  <c r="I12" i="8"/>
  <c r="D20" i="2"/>
  <c r="H27" i="2"/>
  <c r="AE6" i="8"/>
  <c r="K6" i="8"/>
  <c r="X6" i="8"/>
  <c r="J6" i="8"/>
  <c r="L6" i="12" s="1"/>
  <c r="A6" i="12"/>
  <c r="Y6" i="8"/>
  <c r="E6" i="8"/>
  <c r="D6" i="8"/>
  <c r="A6" i="10"/>
  <c r="AE9" i="8"/>
  <c r="J12" i="8"/>
  <c r="E12" i="12" s="1"/>
  <c r="I12" i="10" s="1"/>
  <c r="E22" i="8"/>
  <c r="Y24" i="8"/>
  <c r="H34" i="12"/>
  <c r="L34" i="10" s="1"/>
  <c r="B34" i="12"/>
  <c r="F34" i="10" s="1"/>
  <c r="L34" i="12"/>
  <c r="P34" i="10" s="1"/>
  <c r="K34" i="12"/>
  <c r="O34" i="10" s="1"/>
  <c r="J34" i="12"/>
  <c r="N34" i="10" s="1"/>
  <c r="I34" i="12"/>
  <c r="M34" i="10" s="1"/>
  <c r="B44" i="8"/>
  <c r="B44" i="10" s="1"/>
  <c r="AA53" i="8"/>
  <c r="T52" i="10"/>
  <c r="S52" i="10"/>
  <c r="K22" i="12"/>
  <c r="O22" i="10" s="1"/>
  <c r="M35" i="12"/>
  <c r="Q35" i="10" s="1"/>
  <c r="S57" i="10"/>
  <c r="T57" i="10"/>
  <c r="J11" i="5"/>
  <c r="K11" i="5" s="1"/>
  <c r="K14" i="12"/>
  <c r="O14" i="10" s="1"/>
  <c r="A14" i="10"/>
  <c r="M14" i="12"/>
  <c r="Q14" i="10" s="1"/>
  <c r="F14" i="8"/>
  <c r="L14" i="12"/>
  <c r="P14" i="10" s="1"/>
  <c r="AE14" i="8"/>
  <c r="A14" i="12"/>
  <c r="Y14" i="8"/>
  <c r="B39" i="12"/>
  <c r="F39" i="10" s="1"/>
  <c r="AE39" i="8"/>
  <c r="K39" i="8"/>
  <c r="J39" i="8"/>
  <c r="H39" i="8"/>
  <c r="C39" i="8"/>
  <c r="C39" i="10" s="1"/>
  <c r="A39" i="10"/>
  <c r="Z39" i="8"/>
  <c r="A39" i="12"/>
  <c r="Y39" i="8"/>
  <c r="X39" i="8"/>
  <c r="AA39" i="8" s="1"/>
  <c r="I39" i="8"/>
  <c r="L39" i="12" s="1"/>
  <c r="P39" i="10" s="1"/>
  <c r="E39" i="8"/>
  <c r="L53" i="12"/>
  <c r="P53" i="10" s="1"/>
  <c r="K53" i="12"/>
  <c r="O53" i="10" s="1"/>
  <c r="I53" i="12"/>
  <c r="M53" i="10" s="1"/>
  <c r="G53" i="12"/>
  <c r="K53" i="10" s="1"/>
  <c r="B53" i="12"/>
  <c r="F53" i="10" s="1"/>
  <c r="D62" i="10"/>
  <c r="AE62" i="8"/>
  <c r="N6" i="6"/>
  <c r="B14" i="8"/>
  <c r="B14" i="10" s="1"/>
  <c r="B39" i="8"/>
  <c r="B39" i="10" s="1"/>
  <c r="L43" i="12"/>
  <c r="P43" i="10" s="1"/>
  <c r="K43" i="12"/>
  <c r="O43" i="10" s="1"/>
  <c r="H43" i="12"/>
  <c r="L43" i="10" s="1"/>
  <c r="F43" i="12"/>
  <c r="J43" i="10" s="1"/>
  <c r="A43" i="10"/>
  <c r="J43" i="12"/>
  <c r="N43" i="10" s="1"/>
  <c r="X43" i="8"/>
  <c r="AA43" i="8" s="1"/>
  <c r="A43" i="12"/>
  <c r="E43" i="8"/>
  <c r="D43" i="8"/>
  <c r="Y43" i="8"/>
  <c r="G43" i="8"/>
  <c r="E43" i="10" s="1"/>
  <c r="E43" i="12"/>
  <c r="I43" i="10" s="1"/>
  <c r="D43" i="12"/>
  <c r="H43" i="10" s="1"/>
  <c r="C43" i="12"/>
  <c r="G43" i="10" s="1"/>
  <c r="B43" i="12"/>
  <c r="F43" i="10" s="1"/>
  <c r="J57" i="8"/>
  <c r="A57" i="12"/>
  <c r="I57" i="8"/>
  <c r="E57" i="12" s="1"/>
  <c r="I57" i="10" s="1"/>
  <c r="C57" i="8"/>
  <c r="C57" i="10" s="1"/>
  <c r="H57" i="8"/>
  <c r="H57" i="12"/>
  <c r="L57" i="10" s="1"/>
  <c r="G57" i="12"/>
  <c r="K57" i="10" s="1"/>
  <c r="AE57" i="8"/>
  <c r="Y57" i="8"/>
  <c r="Z57" i="8"/>
  <c r="X57" i="8"/>
  <c r="K57" i="8"/>
  <c r="E57" i="8"/>
  <c r="K60" i="12"/>
  <c r="O60" i="10" s="1"/>
  <c r="J60" i="12"/>
  <c r="N60" i="10" s="1"/>
  <c r="G60" i="12"/>
  <c r="K60" i="10" s="1"/>
  <c r="E60" i="12"/>
  <c r="I60" i="10" s="1"/>
  <c r="D60" i="12"/>
  <c r="H60" i="10" s="1"/>
  <c r="L60" i="12"/>
  <c r="P60" i="10" s="1"/>
  <c r="F60" i="8"/>
  <c r="F60" i="12"/>
  <c r="J60" i="10" s="1"/>
  <c r="E60" i="8"/>
  <c r="C60" i="12"/>
  <c r="G60" i="10" s="1"/>
  <c r="D60" i="8"/>
  <c r="A60" i="12"/>
  <c r="I57" i="12"/>
  <c r="M57" i="10" s="1"/>
  <c r="N12" i="6"/>
  <c r="H14" i="8"/>
  <c r="G14" i="12" s="1"/>
  <c r="K14" i="10" s="1"/>
  <c r="G40" i="12"/>
  <c r="K40" i="10" s="1"/>
  <c r="F40" i="12"/>
  <c r="J40" i="10" s="1"/>
  <c r="C40" i="12"/>
  <c r="G40" i="10" s="1"/>
  <c r="A40" i="12"/>
  <c r="J40" i="12"/>
  <c r="N40" i="10" s="1"/>
  <c r="I40" i="12"/>
  <c r="M40" i="10" s="1"/>
  <c r="K40" i="12"/>
  <c r="O40" i="10" s="1"/>
  <c r="Z40" i="8"/>
  <c r="J40" i="8"/>
  <c r="H40" i="12" s="1"/>
  <c r="L40" i="10" s="1"/>
  <c r="A40" i="10"/>
  <c r="I43" i="8"/>
  <c r="A50" i="10"/>
  <c r="AE50" i="8"/>
  <c r="A50" i="12"/>
  <c r="K50" i="8"/>
  <c r="J50" i="8"/>
  <c r="D50" i="12" s="1"/>
  <c r="H50" i="10" s="1"/>
  <c r="Z50" i="8"/>
  <c r="K50" i="12"/>
  <c r="O50" i="10" s="1"/>
  <c r="G50" i="8"/>
  <c r="E50" i="10" s="1"/>
  <c r="I50" i="8"/>
  <c r="G50" i="12" s="1"/>
  <c r="K50" i="10" s="1"/>
  <c r="H50" i="8"/>
  <c r="R55" i="10"/>
  <c r="AC55" i="8"/>
  <c r="AD55" i="8" s="1"/>
  <c r="I60" i="8"/>
  <c r="C53" i="12"/>
  <c r="G53" i="10" s="1"/>
  <c r="K58" i="12"/>
  <c r="O58" i="10" s="1"/>
  <c r="A58" i="10"/>
  <c r="I58" i="12"/>
  <c r="M58" i="10" s="1"/>
  <c r="Z58" i="8"/>
  <c r="Y58" i="8"/>
  <c r="AA58" i="8" s="1"/>
  <c r="G58" i="12"/>
  <c r="K58" i="10" s="1"/>
  <c r="G58" i="8"/>
  <c r="E58" i="10" s="1"/>
  <c r="B58" i="12"/>
  <c r="F58" i="10" s="1"/>
  <c r="H58" i="8"/>
  <c r="F58" i="8"/>
  <c r="M58" i="12"/>
  <c r="Q58" i="10" s="1"/>
  <c r="F58" i="12"/>
  <c r="J58" i="10" s="1"/>
  <c r="E58" i="12"/>
  <c r="I58" i="10" s="1"/>
  <c r="E58" i="8"/>
  <c r="D58" i="8"/>
  <c r="J58" i="12"/>
  <c r="N58" i="10" s="1"/>
  <c r="T53" i="10"/>
  <c r="S53" i="10"/>
  <c r="F53" i="12"/>
  <c r="J53" i="10" s="1"/>
  <c r="D58" i="12"/>
  <c r="H58" i="10" s="1"/>
  <c r="L37" i="6"/>
  <c r="M37" i="6" s="1"/>
  <c r="E41" i="12"/>
  <c r="I41" i="10" s="1"/>
  <c r="D41" i="8"/>
  <c r="D41" i="10" s="1"/>
  <c r="A41" i="10"/>
  <c r="AE41" i="8"/>
  <c r="K41" i="12"/>
  <c r="O41" i="10" s="1"/>
  <c r="I41" i="12"/>
  <c r="M41" i="10" s="1"/>
  <c r="D41" i="12"/>
  <c r="H41" i="10" s="1"/>
  <c r="G41" i="8"/>
  <c r="E41" i="10" s="1"/>
  <c r="C41" i="12"/>
  <c r="G41" i="10" s="1"/>
  <c r="F41" i="8"/>
  <c r="K28" i="2"/>
  <c r="L28" i="2" s="1"/>
  <c r="I28" i="2"/>
  <c r="L29" i="12"/>
  <c r="P29" i="10" s="1"/>
  <c r="H29" i="12"/>
  <c r="L29" i="10" s="1"/>
  <c r="E29" i="12"/>
  <c r="I29" i="10" s="1"/>
  <c r="A29" i="10"/>
  <c r="A29" i="12"/>
  <c r="Y29" i="8"/>
  <c r="K29" i="12"/>
  <c r="O29" i="10" s="1"/>
  <c r="J29" i="12"/>
  <c r="N29" i="10" s="1"/>
  <c r="X29" i="8"/>
  <c r="M26" i="2"/>
  <c r="D28" i="2"/>
  <c r="D18" i="8"/>
  <c r="B29" i="8"/>
  <c r="B29" i="10" s="1"/>
  <c r="S65" i="10"/>
  <c r="T65" i="10"/>
  <c r="D24" i="2"/>
  <c r="D26" i="2"/>
  <c r="E28" i="2"/>
  <c r="A15" i="12"/>
  <c r="A15" i="10"/>
  <c r="K15" i="12"/>
  <c r="O15" i="10" s="1"/>
  <c r="J15" i="8"/>
  <c r="D15" i="12" s="1"/>
  <c r="H15" i="10" s="1"/>
  <c r="C15" i="8"/>
  <c r="C15" i="10" s="1"/>
  <c r="F15" i="8"/>
  <c r="F8" i="5" s="1"/>
  <c r="F11" i="2" s="1"/>
  <c r="H15" i="8"/>
  <c r="I15" i="12" s="1"/>
  <c r="M15" i="10" s="1"/>
  <c r="E15" i="12"/>
  <c r="I15" i="10" s="1"/>
  <c r="G15" i="8"/>
  <c r="E15" i="10" s="1"/>
  <c r="C29" i="8"/>
  <c r="C29" i="10" s="1"/>
  <c r="S38" i="10"/>
  <c r="T38" i="10"/>
  <c r="I41" i="8"/>
  <c r="M48" i="12"/>
  <c r="Q48" i="10" s="1"/>
  <c r="L48" i="12"/>
  <c r="P48" i="10" s="1"/>
  <c r="I48" i="12"/>
  <c r="M48" i="10" s="1"/>
  <c r="G48" i="12"/>
  <c r="K48" i="10" s="1"/>
  <c r="A48" i="10"/>
  <c r="J48" i="8"/>
  <c r="D48" i="12" s="1"/>
  <c r="H48" i="10" s="1"/>
  <c r="C48" i="8"/>
  <c r="C48" i="10" s="1"/>
  <c r="B48" i="8"/>
  <c r="B48" i="10" s="1"/>
  <c r="A48" i="12"/>
  <c r="AE48" i="8"/>
  <c r="L65" i="12"/>
  <c r="P65" i="10" s="1"/>
  <c r="K65" i="12"/>
  <c r="O65" i="10" s="1"/>
  <c r="H65" i="12"/>
  <c r="L65" i="10" s="1"/>
  <c r="F65" i="12"/>
  <c r="J65" i="10" s="1"/>
  <c r="E65" i="12"/>
  <c r="I65" i="10" s="1"/>
  <c r="M65" i="12"/>
  <c r="Q65" i="10" s="1"/>
  <c r="J65" i="12"/>
  <c r="N65" i="10" s="1"/>
  <c r="A65" i="12"/>
  <c r="Y65" i="8"/>
  <c r="AA65" i="8" s="1"/>
  <c r="I65" i="12"/>
  <c r="M65" i="10" s="1"/>
  <c r="H65" i="8"/>
  <c r="G65" i="8"/>
  <c r="E65" i="10" s="1"/>
  <c r="G65" i="12"/>
  <c r="K65" i="10" s="1"/>
  <c r="D65" i="12"/>
  <c r="H65" i="10" s="1"/>
  <c r="C65" i="12"/>
  <c r="G65" i="10" s="1"/>
  <c r="B65" i="12"/>
  <c r="F65" i="10" s="1"/>
  <c r="I65" i="8"/>
  <c r="D65" i="8"/>
  <c r="C65" i="8"/>
  <c r="C65" i="10" s="1"/>
  <c r="A26" i="10"/>
  <c r="A26" i="12"/>
  <c r="J26" i="8"/>
  <c r="E26" i="12" s="1"/>
  <c r="I26" i="10" s="1"/>
  <c r="D26" i="12"/>
  <c r="H26" i="10" s="1"/>
  <c r="C26" i="8"/>
  <c r="C26" i="10" s="1"/>
  <c r="F26" i="12"/>
  <c r="J26" i="10" s="1"/>
  <c r="D29" i="8"/>
  <c r="A32" i="12"/>
  <c r="X32" i="8"/>
  <c r="AA32" i="8" s="1"/>
  <c r="E32" i="8"/>
  <c r="Y32" i="8"/>
  <c r="G32" i="8"/>
  <c r="E32" i="10" s="1"/>
  <c r="J32" i="8"/>
  <c r="I32" i="8"/>
  <c r="L26" i="6"/>
  <c r="M26" i="6" s="1"/>
  <c r="E52" i="12"/>
  <c r="I52" i="10" s="1"/>
  <c r="D52" i="12"/>
  <c r="H52" i="10" s="1"/>
  <c r="A52" i="12"/>
  <c r="M52" i="12"/>
  <c r="Q52" i="10" s="1"/>
  <c r="G52" i="12"/>
  <c r="K52" i="10" s="1"/>
  <c r="D52" i="8"/>
  <c r="D52" i="10" s="1"/>
  <c r="I52" i="12"/>
  <c r="M52" i="10" s="1"/>
  <c r="H52" i="12"/>
  <c r="L52" i="10" s="1"/>
  <c r="AE52" i="8"/>
  <c r="C52" i="8"/>
  <c r="C52" i="10" s="1"/>
  <c r="L52" i="12"/>
  <c r="P52" i="10" s="1"/>
  <c r="F52" i="12"/>
  <c r="J52" i="10" s="1"/>
  <c r="E8" i="12"/>
  <c r="I8" i="10" s="1"/>
  <c r="D8" i="12"/>
  <c r="H8" i="10" s="1"/>
  <c r="A8" i="12"/>
  <c r="A8" i="10"/>
  <c r="M8" i="12"/>
  <c r="Q8" i="10" s="1"/>
  <c r="D8" i="8"/>
  <c r="X8" i="8"/>
  <c r="I8" i="12"/>
  <c r="M8" i="10" s="1"/>
  <c r="G8" i="8"/>
  <c r="E8" i="10" s="1"/>
  <c r="L21" i="12"/>
  <c r="P21" i="10" s="1"/>
  <c r="K21" i="12"/>
  <c r="O21" i="10" s="1"/>
  <c r="H21" i="12"/>
  <c r="L21" i="10" s="1"/>
  <c r="F21" i="12"/>
  <c r="J21" i="10" s="1"/>
  <c r="D21" i="12"/>
  <c r="H21" i="10" s="1"/>
  <c r="X21" i="8"/>
  <c r="E21" i="12"/>
  <c r="I21" i="10" s="1"/>
  <c r="S21" i="10" s="1"/>
  <c r="E21" i="8"/>
  <c r="C21" i="12"/>
  <c r="G21" i="10" s="1"/>
  <c r="Y21" i="8"/>
  <c r="B52" i="8"/>
  <c r="B52" i="10" s="1"/>
  <c r="E63" i="12"/>
  <c r="I63" i="10" s="1"/>
  <c r="T64" i="10"/>
  <c r="S64" i="10"/>
  <c r="B8" i="12"/>
  <c r="F8" i="10" s="1"/>
  <c r="J52" i="12"/>
  <c r="N52" i="10" s="1"/>
  <c r="L7" i="12"/>
  <c r="P7" i="10" s="1"/>
  <c r="G7" i="12"/>
  <c r="K7" i="10" s="1"/>
  <c r="F7" i="12"/>
  <c r="J7" i="10" s="1"/>
  <c r="K7" i="12"/>
  <c r="O7" i="10" s="1"/>
  <c r="B7" i="12"/>
  <c r="F7" i="10" s="1"/>
  <c r="A7" i="12"/>
  <c r="L19" i="12"/>
  <c r="P19" i="10" s="1"/>
  <c r="J19" i="12"/>
  <c r="N19" i="10" s="1"/>
  <c r="M19" i="12"/>
  <c r="Q19" i="10" s="1"/>
  <c r="K19" i="12"/>
  <c r="O19" i="10" s="1"/>
  <c r="D19" i="12"/>
  <c r="H19" i="10" s="1"/>
  <c r="T19" i="10" s="1"/>
  <c r="I19" i="12"/>
  <c r="M19" i="10" s="1"/>
  <c r="D19" i="8"/>
  <c r="A19" i="12"/>
  <c r="H23" i="12"/>
  <c r="L23" i="10" s="1"/>
  <c r="A23" i="10"/>
  <c r="G23" i="12"/>
  <c r="K23" i="10" s="1"/>
  <c r="D23" i="12"/>
  <c r="H23" i="10" s="1"/>
  <c r="B23" i="12"/>
  <c r="F23" i="10" s="1"/>
  <c r="F23" i="12"/>
  <c r="J23" i="10" s="1"/>
  <c r="L23" i="12"/>
  <c r="P23" i="10" s="1"/>
  <c r="Y23" i="8"/>
  <c r="K23" i="12"/>
  <c r="O23" i="10" s="1"/>
  <c r="H27" i="12"/>
  <c r="L27" i="10" s="1"/>
  <c r="B27" i="12"/>
  <c r="F27" i="10" s="1"/>
  <c r="S27" i="10" s="1"/>
  <c r="Z27" i="8"/>
  <c r="G27" i="8"/>
  <c r="E27" i="10" s="1"/>
  <c r="F35" i="12"/>
  <c r="J35" i="10" s="1"/>
  <c r="E35" i="12"/>
  <c r="I35" i="10" s="1"/>
  <c r="B35" i="12"/>
  <c r="F35" i="10" s="1"/>
  <c r="L35" i="12"/>
  <c r="P35" i="10" s="1"/>
  <c r="B35" i="8"/>
  <c r="B35" i="10" s="1"/>
  <c r="K35" i="12"/>
  <c r="O35" i="10" s="1"/>
  <c r="J35" i="12"/>
  <c r="N35" i="10" s="1"/>
  <c r="E62" i="12"/>
  <c r="I62" i="10" s="1"/>
  <c r="D62" i="12"/>
  <c r="H62" i="10" s="1"/>
  <c r="H19" i="12"/>
  <c r="L19" i="10" s="1"/>
  <c r="L27" i="12"/>
  <c r="P27" i="10" s="1"/>
  <c r="G18" i="12"/>
  <c r="K18" i="10" s="1"/>
  <c r="F18" i="12"/>
  <c r="J18" i="10" s="1"/>
  <c r="C18" i="12"/>
  <c r="G18" i="10" s="1"/>
  <c r="T18" i="10" s="1"/>
  <c r="A18" i="12"/>
  <c r="M18" i="12"/>
  <c r="Q18" i="10" s="1"/>
  <c r="E30" i="12"/>
  <c r="I30" i="10" s="1"/>
  <c r="D30" i="12"/>
  <c r="H30" i="10" s="1"/>
  <c r="A30" i="12"/>
  <c r="F30" i="12"/>
  <c r="J30" i="10" s="1"/>
  <c r="C30" i="12"/>
  <c r="G30" i="10" s="1"/>
  <c r="D30" i="8"/>
  <c r="M30" i="12"/>
  <c r="Q30" i="10" s="1"/>
  <c r="A34" i="10"/>
  <c r="M34" i="12"/>
  <c r="Q34" i="10" s="1"/>
  <c r="F34" i="12"/>
  <c r="J34" i="10" s="1"/>
  <c r="E34" i="12"/>
  <c r="I34" i="10" s="1"/>
  <c r="C34" i="12"/>
  <c r="G34" i="10" s="1"/>
  <c r="Y34" i="8"/>
  <c r="AA34" i="8" s="1"/>
  <c r="K38" i="12"/>
  <c r="O38" i="10" s="1"/>
  <c r="J38" i="12"/>
  <c r="N38" i="10" s="1"/>
  <c r="G38" i="12"/>
  <c r="K38" i="10" s="1"/>
  <c r="E38" i="12"/>
  <c r="I38" i="10" s="1"/>
  <c r="H38" i="12"/>
  <c r="L38" i="10" s="1"/>
  <c r="F38" i="12"/>
  <c r="J38" i="10" s="1"/>
  <c r="Z38" i="8"/>
  <c r="B38" i="12"/>
  <c r="F38" i="10" s="1"/>
  <c r="G38" i="8"/>
  <c r="E38" i="10" s="1"/>
  <c r="A38" i="12"/>
  <c r="F38" i="8"/>
  <c r="D34" i="12"/>
  <c r="H34" i="10" s="1"/>
  <c r="G34" i="12"/>
  <c r="K34" i="10" s="1"/>
  <c r="B62" i="12"/>
  <c r="F62" i="10" s="1"/>
  <c r="M9" i="12"/>
  <c r="Q9" i="10" s="1"/>
  <c r="J9" i="12"/>
  <c r="N9" i="10" s="1"/>
  <c r="H9" i="12"/>
  <c r="L9" i="10" s="1"/>
  <c r="G9" i="12"/>
  <c r="K9" i="10" s="1"/>
  <c r="F9" i="12"/>
  <c r="J9" i="10" s="1"/>
  <c r="M31" i="12"/>
  <c r="Q31" i="10" s="1"/>
  <c r="J31" i="12"/>
  <c r="N31" i="10" s="1"/>
  <c r="H31" i="12"/>
  <c r="L31" i="10" s="1"/>
  <c r="I31" i="12"/>
  <c r="M31" i="10" s="1"/>
  <c r="C42" i="12"/>
  <c r="G42" i="10" s="1"/>
  <c r="B42" i="12"/>
  <c r="F42" i="10" s="1"/>
  <c r="J42" i="12"/>
  <c r="N42" i="10" s="1"/>
  <c r="I42" i="12"/>
  <c r="M42" i="10" s="1"/>
  <c r="A42" i="10"/>
  <c r="A42" i="12"/>
  <c r="M53" i="12"/>
  <c r="Q53" i="10" s="1"/>
  <c r="J53" i="12"/>
  <c r="N53" i="10" s="1"/>
  <c r="H53" i="12"/>
  <c r="L53" i="10" s="1"/>
  <c r="A53" i="12"/>
  <c r="I64" i="8"/>
  <c r="C64" i="12" s="1"/>
  <c r="G64" i="10" s="1"/>
  <c r="A9" i="10"/>
  <c r="E9" i="12"/>
  <c r="I9" i="10" s="1"/>
  <c r="A31" i="12"/>
  <c r="H9" i="8"/>
  <c r="D9" i="12" s="1"/>
  <c r="H9" i="10" s="1"/>
  <c r="H20" i="8"/>
  <c r="B20" i="12" s="1"/>
  <c r="F20" i="10" s="1"/>
  <c r="H31" i="8"/>
  <c r="H42" i="8"/>
  <c r="H53" i="8"/>
  <c r="A56" i="10"/>
  <c r="M56" i="12"/>
  <c r="Q56" i="10" s="1"/>
  <c r="F56" i="8"/>
  <c r="E56" i="8"/>
  <c r="G56" i="12"/>
  <c r="K56" i="10" s="1"/>
  <c r="L63" i="12"/>
  <c r="P63" i="10" s="1"/>
  <c r="J63" i="12"/>
  <c r="N63" i="10" s="1"/>
  <c r="I63" i="12"/>
  <c r="M63" i="10" s="1"/>
  <c r="G63" i="12"/>
  <c r="K63" i="10" s="1"/>
  <c r="X63" i="8"/>
  <c r="AA63" i="8" s="1"/>
  <c r="F63" i="12"/>
  <c r="J63" i="10" s="1"/>
  <c r="K63" i="8"/>
  <c r="E63" i="8"/>
  <c r="H64" i="8"/>
  <c r="K31" i="12"/>
  <c r="O31" i="10" s="1"/>
  <c r="E53" i="12"/>
  <c r="I53" i="10" s="1"/>
  <c r="B63" i="12"/>
  <c r="F63" i="10" s="1"/>
  <c r="G62" i="12"/>
  <c r="K62" i="10" s="1"/>
  <c r="F62" i="12"/>
  <c r="J62" i="10" s="1"/>
  <c r="C62" i="12"/>
  <c r="G62" i="10" s="1"/>
  <c r="A62" i="12"/>
  <c r="M62" i="12"/>
  <c r="Q62" i="10" s="1"/>
  <c r="J55" i="12"/>
  <c r="N55" i="10" s="1"/>
  <c r="I55" i="12"/>
  <c r="M55" i="10" s="1"/>
  <c r="F55" i="12"/>
  <c r="J55" i="10" s="1"/>
  <c r="D55" i="12"/>
  <c r="H55" i="10" s="1"/>
  <c r="G62" i="8"/>
  <c r="E62" i="10" s="1"/>
  <c r="B55" i="8"/>
  <c r="B55" i="10" s="1"/>
  <c r="H62" i="8"/>
  <c r="A55" i="12"/>
  <c r="T36" i="10" l="1"/>
  <c r="S36" i="10"/>
  <c r="R50" i="10"/>
  <c r="AC50" i="8"/>
  <c r="AD50" i="8" s="1"/>
  <c r="AA57" i="8"/>
  <c r="Z6" i="8"/>
  <c r="G20" i="2" s="1"/>
  <c r="AA6" i="8"/>
  <c r="B49" i="12"/>
  <c r="F49" i="10" s="1"/>
  <c r="E49" i="12"/>
  <c r="I49" i="10" s="1"/>
  <c r="J49" i="12"/>
  <c r="N49" i="10" s="1"/>
  <c r="I49" i="12"/>
  <c r="M49" i="10" s="1"/>
  <c r="J20" i="12"/>
  <c r="N20" i="10" s="1"/>
  <c r="D20" i="12"/>
  <c r="H20" i="10" s="1"/>
  <c r="S51" i="10"/>
  <c r="T51" i="10"/>
  <c r="AA21" i="8"/>
  <c r="Z21" i="8"/>
  <c r="C26" i="12"/>
  <c r="G26" i="10" s="1"/>
  <c r="F10" i="12"/>
  <c r="J10" i="10" s="1"/>
  <c r="AA26" i="8"/>
  <c r="Z26" i="8"/>
  <c r="B33" i="12"/>
  <c r="F33" i="10" s="1"/>
  <c r="K64" i="12"/>
  <c r="O64" i="10" s="1"/>
  <c r="C20" i="12"/>
  <c r="G20" i="10" s="1"/>
  <c r="T20" i="10" s="1"/>
  <c r="H41" i="12"/>
  <c r="L41" i="10" s="1"/>
  <c r="M41" i="12"/>
  <c r="Q41" i="10" s="1"/>
  <c r="G41" i="12"/>
  <c r="K41" i="10" s="1"/>
  <c r="F41" i="12"/>
  <c r="J41" i="10" s="1"/>
  <c r="B41" i="12"/>
  <c r="F41" i="10" s="1"/>
  <c r="H26" i="12"/>
  <c r="L26" i="10" s="1"/>
  <c r="L50" i="12"/>
  <c r="P50" i="10" s="1"/>
  <c r="R57" i="10"/>
  <c r="AC57" i="8"/>
  <c r="AD57" i="8" s="1"/>
  <c r="F6" i="12"/>
  <c r="J44" i="12"/>
  <c r="N44" i="10" s="1"/>
  <c r="H24" i="12"/>
  <c r="L24" i="10" s="1"/>
  <c r="AA49" i="8"/>
  <c r="L51" i="12"/>
  <c r="P51" i="10" s="1"/>
  <c r="K12" i="12"/>
  <c r="O12" i="10" s="1"/>
  <c r="J12" i="12"/>
  <c r="N12" i="10" s="1"/>
  <c r="I37" i="12"/>
  <c r="M37" i="10" s="1"/>
  <c r="T47" i="10"/>
  <c r="S47" i="10"/>
  <c r="M45" i="12"/>
  <c r="Q45" i="10" s="1"/>
  <c r="D36" i="10"/>
  <c r="AE36" i="8"/>
  <c r="K33" i="12"/>
  <c r="O33" i="10" s="1"/>
  <c r="AC11" i="8"/>
  <c r="R11" i="10"/>
  <c r="AE30" i="8"/>
  <c r="D30" i="10"/>
  <c r="R58" i="10"/>
  <c r="AC58" i="8"/>
  <c r="AD58" i="8" s="1"/>
  <c r="L37" i="12"/>
  <c r="P37" i="10" s="1"/>
  <c r="J28" i="12"/>
  <c r="N28" i="10" s="1"/>
  <c r="M10" i="12"/>
  <c r="Q10" i="10" s="1"/>
  <c r="L11" i="12"/>
  <c r="P11" i="10" s="1"/>
  <c r="H10" i="12"/>
  <c r="L10" i="10" s="1"/>
  <c r="E33" i="12"/>
  <c r="I33" i="10" s="1"/>
  <c r="C13" i="12"/>
  <c r="G13" i="10" s="1"/>
  <c r="S43" i="10"/>
  <c r="T43" i="10"/>
  <c r="G28" i="12"/>
  <c r="K28" i="10" s="1"/>
  <c r="Z14" i="8"/>
  <c r="J22" i="2" s="1"/>
  <c r="AA14" i="8"/>
  <c r="D18" i="10"/>
  <c r="AE18" i="8"/>
  <c r="H14" i="12"/>
  <c r="L14" i="10" s="1"/>
  <c r="AA51" i="8"/>
  <c r="E10" i="12"/>
  <c r="I10" i="10" s="1"/>
  <c r="T10" i="10" s="1"/>
  <c r="I26" i="12"/>
  <c r="M26" i="10" s="1"/>
  <c r="H20" i="12"/>
  <c r="L20" i="10" s="1"/>
  <c r="T21" i="10"/>
  <c r="T49" i="10"/>
  <c r="S49" i="10"/>
  <c r="S34" i="10"/>
  <c r="T34" i="10"/>
  <c r="G39" i="12"/>
  <c r="K39" i="10" s="1"/>
  <c r="F39" i="12"/>
  <c r="J39" i="10" s="1"/>
  <c r="E39" i="12"/>
  <c r="I39" i="10" s="1"/>
  <c r="F64" i="12"/>
  <c r="J64" i="10" s="1"/>
  <c r="H64" i="12"/>
  <c r="L64" i="10" s="1"/>
  <c r="G64" i="12"/>
  <c r="K64" i="10" s="1"/>
  <c r="I64" i="12"/>
  <c r="M64" i="10" s="1"/>
  <c r="E64" i="12"/>
  <c r="I64" i="10" s="1"/>
  <c r="L64" i="12"/>
  <c r="P64" i="10" s="1"/>
  <c r="D64" i="12"/>
  <c r="H64" i="10" s="1"/>
  <c r="M64" i="12"/>
  <c r="Q64" i="10" s="1"/>
  <c r="B26" i="12"/>
  <c r="F26" i="10" s="1"/>
  <c r="T26" i="10" s="1"/>
  <c r="F6" i="5"/>
  <c r="F9" i="2" s="1"/>
  <c r="T59" i="10"/>
  <c r="S59" i="10"/>
  <c r="B64" i="12"/>
  <c r="F64" i="10" s="1"/>
  <c r="B9" i="12"/>
  <c r="F9" i="10" s="1"/>
  <c r="J14" i="12"/>
  <c r="N14" i="10" s="1"/>
  <c r="M6" i="12"/>
  <c r="F20" i="12"/>
  <c r="J20" i="10" s="1"/>
  <c r="AC13" i="8"/>
  <c r="R13" i="10"/>
  <c r="G26" i="12"/>
  <c r="K26" i="10" s="1"/>
  <c r="G20" i="12"/>
  <c r="K20" i="10" s="1"/>
  <c r="M28" i="12"/>
  <c r="Q28" i="10" s="1"/>
  <c r="M50" i="12"/>
  <c r="Q50" i="10" s="1"/>
  <c r="AC39" i="8"/>
  <c r="AD39" i="8" s="1"/>
  <c r="R39" i="10"/>
  <c r="C14" i="12"/>
  <c r="G14" i="10" s="1"/>
  <c r="E6" i="12"/>
  <c r="C16" i="12"/>
  <c r="G16" i="10" s="1"/>
  <c r="T16" i="10" s="1"/>
  <c r="L16" i="12"/>
  <c r="P16" i="10" s="1"/>
  <c r="F16" i="12"/>
  <c r="J16" i="10" s="1"/>
  <c r="B16" i="12"/>
  <c r="F16" i="10" s="1"/>
  <c r="M16" i="12"/>
  <c r="Q16" i="10" s="1"/>
  <c r="K26" i="12"/>
  <c r="O26" i="10" s="1"/>
  <c r="C50" i="12"/>
  <c r="G50" i="10" s="1"/>
  <c r="S39" i="10"/>
  <c r="T39" i="10"/>
  <c r="H6" i="12"/>
  <c r="I20" i="12"/>
  <c r="M20" i="10" s="1"/>
  <c r="M49" i="12"/>
  <c r="Q49" i="10" s="1"/>
  <c r="T37" i="10"/>
  <c r="S37" i="10"/>
  <c r="L33" i="12"/>
  <c r="P33" i="10" s="1"/>
  <c r="D32" i="12"/>
  <c r="H32" i="10" s="1"/>
  <c r="B32" i="12"/>
  <c r="F32" i="10" s="1"/>
  <c r="M32" i="12"/>
  <c r="Q32" i="10" s="1"/>
  <c r="L32" i="12"/>
  <c r="P32" i="10" s="1"/>
  <c r="K32" i="12"/>
  <c r="O32" i="10" s="1"/>
  <c r="J32" i="12"/>
  <c r="N32" i="10" s="1"/>
  <c r="I32" i="12"/>
  <c r="M32" i="10" s="1"/>
  <c r="H32" i="12"/>
  <c r="L32" i="10" s="1"/>
  <c r="G32" i="12"/>
  <c r="K32" i="10" s="1"/>
  <c r="C32" i="12"/>
  <c r="G32" i="10" s="1"/>
  <c r="M26" i="12"/>
  <c r="Q26" i="10" s="1"/>
  <c r="B48" i="12"/>
  <c r="F48" i="10" s="1"/>
  <c r="C15" i="12"/>
  <c r="G15" i="10" s="1"/>
  <c r="AA29" i="8"/>
  <c r="T58" i="10"/>
  <c r="S58" i="10"/>
  <c r="E50" i="12"/>
  <c r="I50" i="10" s="1"/>
  <c r="C39" i="12"/>
  <c r="G39" i="10" s="1"/>
  <c r="I6" i="12"/>
  <c r="I22" i="12"/>
  <c r="M22" i="10" s="1"/>
  <c r="F51" i="12"/>
  <c r="J51" i="10" s="1"/>
  <c r="T27" i="10"/>
  <c r="K28" i="12"/>
  <c r="O28" i="10" s="1"/>
  <c r="AE47" i="8"/>
  <c r="D45" i="12"/>
  <c r="H45" i="10" s="1"/>
  <c r="R36" i="10"/>
  <c r="AC36" i="8"/>
  <c r="AD36" i="8" s="1"/>
  <c r="H11" i="12"/>
  <c r="L11" i="10" s="1"/>
  <c r="D33" i="12"/>
  <c r="H33" i="10" s="1"/>
  <c r="R61" i="10"/>
  <c r="AC61" i="8"/>
  <c r="AD61" i="8" s="1"/>
  <c r="F37" i="12"/>
  <c r="J37" i="10" s="1"/>
  <c r="AA8" i="8"/>
  <c r="Z8" i="8"/>
  <c r="J41" i="12"/>
  <c r="N41" i="10" s="1"/>
  <c r="H50" i="12"/>
  <c r="L50" i="10" s="1"/>
  <c r="C57" i="12"/>
  <c r="G57" i="10" s="1"/>
  <c r="N25" i="2"/>
  <c r="N24" i="2"/>
  <c r="M24" i="2"/>
  <c r="N26" i="2"/>
  <c r="J7" i="3"/>
  <c r="N22" i="2"/>
  <c r="M22" i="2"/>
  <c r="M25" i="2"/>
  <c r="I7" i="3"/>
  <c r="N20" i="2"/>
  <c r="M20" i="2"/>
  <c r="M23" i="2"/>
  <c r="AC49" i="8"/>
  <c r="AD49" i="8" s="1"/>
  <c r="R49" i="10"/>
  <c r="D46" i="10"/>
  <c r="AE46" i="8"/>
  <c r="S19" i="10"/>
  <c r="F9" i="5"/>
  <c r="F12" i="2" s="1"/>
  <c r="B40" i="12"/>
  <c r="F40" i="10" s="1"/>
  <c r="G45" i="12"/>
  <c r="K45" i="10" s="1"/>
  <c r="C36" i="12"/>
  <c r="G36" i="10" s="1"/>
  <c r="K11" i="12"/>
  <c r="O11" i="10" s="1"/>
  <c r="L59" i="12"/>
  <c r="P59" i="10" s="1"/>
  <c r="Z10" i="8"/>
  <c r="D16" i="12"/>
  <c r="H16" i="10" s="1"/>
  <c r="F33" i="12"/>
  <c r="J33" i="10" s="1"/>
  <c r="AE8" i="8"/>
  <c r="D8" i="10"/>
  <c r="D65" i="10"/>
  <c r="AE65" i="8"/>
  <c r="Z29" i="8"/>
  <c r="H26" i="2" s="1"/>
  <c r="L41" i="12"/>
  <c r="P41" i="10" s="1"/>
  <c r="I50" i="12"/>
  <c r="M50" i="10" s="1"/>
  <c r="B57" i="12"/>
  <c r="F57" i="10" s="1"/>
  <c r="D39" i="12"/>
  <c r="H39" i="10" s="1"/>
  <c r="I14" i="12"/>
  <c r="M14" i="10" s="1"/>
  <c r="D44" i="10"/>
  <c r="AE44" i="8"/>
  <c r="F24" i="12"/>
  <c r="J24" i="10" s="1"/>
  <c r="D22" i="12"/>
  <c r="H22" i="10" s="1"/>
  <c r="T22" i="10" s="1"/>
  <c r="H46" i="12"/>
  <c r="L46" i="10" s="1"/>
  <c r="G46" i="12"/>
  <c r="K46" i="10" s="1"/>
  <c r="E46" i="12"/>
  <c r="I46" i="10" s="1"/>
  <c r="AA16" i="8"/>
  <c r="D40" i="12"/>
  <c r="H40" i="10" s="1"/>
  <c r="B47" i="12"/>
  <c r="F47" i="10" s="1"/>
  <c r="S45" i="10"/>
  <c r="T45" i="10"/>
  <c r="D11" i="12"/>
  <c r="H11" i="10" s="1"/>
  <c r="T11" i="10" s="1"/>
  <c r="I33" i="12"/>
  <c r="M33" i="10" s="1"/>
  <c r="D61" i="12"/>
  <c r="H61" i="10" s="1"/>
  <c r="D13" i="12"/>
  <c r="H13" i="10" s="1"/>
  <c r="S13" i="10" s="1"/>
  <c r="K45" i="12"/>
  <c r="O45" i="10" s="1"/>
  <c r="T42" i="10"/>
  <c r="S42" i="10"/>
  <c r="M60" i="12"/>
  <c r="Q60" i="10" s="1"/>
  <c r="I60" i="12"/>
  <c r="M60" i="10" s="1"/>
  <c r="B60" i="12"/>
  <c r="F60" i="10" s="1"/>
  <c r="G43" i="12"/>
  <c r="K43" i="10" s="1"/>
  <c r="M43" i="12"/>
  <c r="Q43" i="10" s="1"/>
  <c r="I43" i="12"/>
  <c r="M43" i="10" s="1"/>
  <c r="H60" i="12"/>
  <c r="L60" i="10" s="1"/>
  <c r="H39" i="12"/>
  <c r="L39" i="10" s="1"/>
  <c r="G12" i="12"/>
  <c r="K12" i="10" s="1"/>
  <c r="I12" i="12"/>
  <c r="M12" i="10" s="1"/>
  <c r="F12" i="12"/>
  <c r="J12" i="10" s="1"/>
  <c r="B12" i="12"/>
  <c r="F12" i="10" s="1"/>
  <c r="T12" i="10" s="1"/>
  <c r="L44" i="12"/>
  <c r="P44" i="10" s="1"/>
  <c r="AE24" i="8"/>
  <c r="H16" i="12"/>
  <c r="L16" i="10" s="1"/>
  <c r="B28" i="12"/>
  <c r="F28" i="10" s="1"/>
  <c r="T28" i="10" s="1"/>
  <c r="E40" i="12"/>
  <c r="I40" i="10" s="1"/>
  <c r="E47" i="12"/>
  <c r="I47" i="10" s="1"/>
  <c r="D36" i="12"/>
  <c r="H36" i="10" s="1"/>
  <c r="F11" i="12"/>
  <c r="J11" i="10" s="1"/>
  <c r="M59" i="12"/>
  <c r="Q59" i="10" s="1"/>
  <c r="AC33" i="8"/>
  <c r="AD33" i="8" s="1"/>
  <c r="R33" i="10"/>
  <c r="J33" i="12"/>
  <c r="N33" i="10" s="1"/>
  <c r="G61" i="12"/>
  <c r="K61" i="10" s="1"/>
  <c r="P6" i="10"/>
  <c r="G6" i="12"/>
  <c r="T61" i="10"/>
  <c r="S61" i="10"/>
  <c r="AA15" i="8"/>
  <c r="Z15" i="8"/>
  <c r="I8" i="5" s="1"/>
  <c r="I11" i="2" s="1"/>
  <c r="T7" i="10"/>
  <c r="S7" i="10"/>
  <c r="T44" i="10"/>
  <c r="S44" i="10"/>
  <c r="S25" i="10"/>
  <c r="T25" i="10"/>
  <c r="C9" i="12"/>
  <c r="G9" i="10" s="1"/>
  <c r="T50" i="10"/>
  <c r="S50" i="10"/>
  <c r="C6" i="12"/>
  <c r="AC47" i="8"/>
  <c r="AD47" i="8" s="1"/>
  <c r="R47" i="10"/>
  <c r="I9" i="12"/>
  <c r="M9" i="10" s="1"/>
  <c r="F15" i="12"/>
  <c r="J15" i="10" s="1"/>
  <c r="T41" i="10"/>
  <c r="S41" i="10"/>
  <c r="D60" i="10"/>
  <c r="AE60" i="8"/>
  <c r="D57" i="12"/>
  <c r="H57" i="10" s="1"/>
  <c r="L57" i="12"/>
  <c r="P57" i="10" s="1"/>
  <c r="K57" i="12"/>
  <c r="O57" i="10" s="1"/>
  <c r="M57" i="12"/>
  <c r="Q57" i="10" s="1"/>
  <c r="J57" i="12"/>
  <c r="N57" i="10" s="1"/>
  <c r="Z22" i="8"/>
  <c r="L26" i="12"/>
  <c r="P26" i="10" s="1"/>
  <c r="D14" i="12"/>
  <c r="H14" i="10" s="1"/>
  <c r="G37" i="12"/>
  <c r="K37" i="10" s="1"/>
  <c r="R38" i="10"/>
  <c r="AC38" i="8"/>
  <c r="AD38" i="8" s="1"/>
  <c r="T8" i="10"/>
  <c r="S8" i="10"/>
  <c r="J48" i="12"/>
  <c r="N48" i="10" s="1"/>
  <c r="H48" i="12"/>
  <c r="L48" i="10" s="1"/>
  <c r="J15" i="12"/>
  <c r="N15" i="10" s="1"/>
  <c r="T40" i="10"/>
  <c r="S40" i="10"/>
  <c r="F57" i="12"/>
  <c r="J57" i="10" s="1"/>
  <c r="E23" i="2"/>
  <c r="D7" i="3"/>
  <c r="G25" i="2"/>
  <c r="I22" i="2"/>
  <c r="F22" i="2"/>
  <c r="E22" i="2"/>
  <c r="F24" i="2"/>
  <c r="E24" i="2"/>
  <c r="E20" i="2"/>
  <c r="F23" i="2"/>
  <c r="F26" i="2"/>
  <c r="E26" i="2"/>
  <c r="D6" i="10"/>
  <c r="G24" i="2"/>
  <c r="F25" i="2"/>
  <c r="E25" i="2"/>
  <c r="I20" i="2"/>
  <c r="J25" i="2"/>
  <c r="F20" i="2"/>
  <c r="H51" i="12"/>
  <c r="L51" i="10" s="1"/>
  <c r="K37" i="12"/>
  <c r="O37" i="10" s="1"/>
  <c r="J37" i="12"/>
  <c r="N37" i="10" s="1"/>
  <c r="C28" i="12"/>
  <c r="G28" i="10" s="1"/>
  <c r="M36" i="12"/>
  <c r="Q36" i="10" s="1"/>
  <c r="I11" i="12"/>
  <c r="M11" i="10" s="1"/>
  <c r="Z19" i="8"/>
  <c r="AA19" i="8"/>
  <c r="L10" i="12"/>
  <c r="P10" i="10" s="1"/>
  <c r="F48" i="12"/>
  <c r="J48" i="10" s="1"/>
  <c r="I39" i="12"/>
  <c r="M39" i="10" s="1"/>
  <c r="J13" i="6"/>
  <c r="I6" i="6"/>
  <c r="J12" i="6"/>
  <c r="J9" i="6"/>
  <c r="I9" i="6"/>
  <c r="K9" i="6"/>
  <c r="I13" i="6"/>
  <c r="K13" i="6"/>
  <c r="I14" i="6"/>
  <c r="K27" i="2"/>
  <c r="L27" i="2" s="1"/>
  <c r="C12" i="12"/>
  <c r="G12" i="10" s="1"/>
  <c r="M44" i="12"/>
  <c r="Q44" i="10" s="1"/>
  <c r="Z17" i="8"/>
  <c r="G22" i="12"/>
  <c r="K22" i="10" s="1"/>
  <c r="E51" i="12"/>
  <c r="I51" i="10" s="1"/>
  <c r="M51" i="12"/>
  <c r="Q51" i="10" s="1"/>
  <c r="I16" i="12"/>
  <c r="M16" i="10" s="1"/>
  <c r="E28" i="12"/>
  <c r="I28" i="10" s="1"/>
  <c r="F10" i="5"/>
  <c r="F13" i="2" s="1"/>
  <c r="M40" i="12"/>
  <c r="Q40" i="10" s="1"/>
  <c r="I10" i="12"/>
  <c r="M10" i="10" s="1"/>
  <c r="J11" i="12"/>
  <c r="N11" i="10" s="1"/>
  <c r="Z23" i="8"/>
  <c r="I9" i="5" s="1"/>
  <c r="I12" i="2" s="1"/>
  <c r="AA23" i="8"/>
  <c r="AA9" i="8"/>
  <c r="Z9" i="8"/>
  <c r="E32" i="12"/>
  <c r="I32" i="10" s="1"/>
  <c r="C48" i="12"/>
  <c r="G48" i="10" s="1"/>
  <c r="T15" i="10"/>
  <c r="T29" i="10"/>
  <c r="S29" i="10"/>
  <c r="R40" i="10"/>
  <c r="AC40" i="8"/>
  <c r="AD40" i="8" s="1"/>
  <c r="E14" i="12"/>
  <c r="I14" i="10" s="1"/>
  <c r="J39" i="12"/>
  <c r="N39" i="10" s="1"/>
  <c r="D12" i="12"/>
  <c r="H12" i="10" s="1"/>
  <c r="H22" i="12"/>
  <c r="L22" i="10" s="1"/>
  <c r="I51" i="12"/>
  <c r="M51" i="10" s="1"/>
  <c r="S46" i="10"/>
  <c r="T46" i="10"/>
  <c r="Z16" i="8"/>
  <c r="AA37" i="8"/>
  <c r="AA28" i="8"/>
  <c r="H28" i="12"/>
  <c r="L28" i="10" s="1"/>
  <c r="B54" i="12"/>
  <c r="F54" i="10" s="1"/>
  <c r="C54" i="12"/>
  <c r="G54" i="10" s="1"/>
  <c r="K10" i="12"/>
  <c r="O10" i="10" s="1"/>
  <c r="C59" i="12"/>
  <c r="G59" i="10" s="1"/>
  <c r="L13" i="12"/>
  <c r="P13" i="10" s="1"/>
  <c r="E11" i="12"/>
  <c r="I11" i="10" s="1"/>
  <c r="S56" i="10"/>
  <c r="T56" i="10"/>
  <c r="S23" i="10"/>
  <c r="T23" i="10"/>
  <c r="F32" i="12"/>
  <c r="J32" i="10" s="1"/>
  <c r="K48" i="12"/>
  <c r="O48" i="10" s="1"/>
  <c r="J64" i="12"/>
  <c r="N64" i="10" s="1"/>
  <c r="K39" i="12"/>
  <c r="O39" i="10" s="1"/>
  <c r="AC44" i="8"/>
  <c r="AD44" i="8" s="1"/>
  <c r="R44" i="10"/>
  <c r="S17" i="10"/>
  <c r="T17" i="10"/>
  <c r="C51" i="12"/>
  <c r="G51" i="10" s="1"/>
  <c r="I46" i="12"/>
  <c r="M46" i="10" s="1"/>
  <c r="D28" i="12"/>
  <c r="H28" i="10" s="1"/>
  <c r="I28" i="12"/>
  <c r="M28" i="10" s="1"/>
  <c r="M39" i="12"/>
  <c r="Q39" i="10" s="1"/>
  <c r="AA12" i="8"/>
  <c r="Z12" i="8"/>
  <c r="K8" i="6" s="1"/>
  <c r="AC45" i="8"/>
  <c r="AD45" i="8" s="1"/>
  <c r="R45" i="10"/>
  <c r="H36" i="12"/>
  <c r="L36" i="10" s="1"/>
  <c r="AA59" i="8"/>
  <c r="AA20" i="8"/>
  <c r="Z20" i="8"/>
  <c r="K9" i="9"/>
  <c r="L9" i="9" s="1"/>
  <c r="K13" i="9"/>
  <c r="L13" i="9" s="1"/>
  <c r="K8" i="9"/>
  <c r="L8" i="9" s="1"/>
  <c r="K7" i="9"/>
  <c r="L7" i="9" s="1"/>
  <c r="K12" i="9"/>
  <c r="L12" i="9" s="1"/>
  <c r="K10" i="9"/>
  <c r="L10" i="9" s="1"/>
  <c r="F21" i="2"/>
  <c r="S9" i="10"/>
  <c r="T9" i="10"/>
  <c r="AE21" i="8"/>
  <c r="B15" i="12"/>
  <c r="F15" i="10" s="1"/>
  <c r="S15" i="10" s="1"/>
  <c r="B6" i="12"/>
  <c r="J24" i="12"/>
  <c r="N24" i="10" s="1"/>
  <c r="L24" i="12"/>
  <c r="P24" i="10" s="1"/>
  <c r="I24" i="12"/>
  <c r="M24" i="10" s="1"/>
  <c r="E24" i="12"/>
  <c r="I24" i="10" s="1"/>
  <c r="T24" i="10" s="1"/>
  <c r="D24" i="12"/>
  <c r="H24" i="10" s="1"/>
  <c r="C24" i="12"/>
  <c r="G24" i="10" s="1"/>
  <c r="D51" i="12"/>
  <c r="H51" i="10" s="1"/>
  <c r="E16" i="12"/>
  <c r="I16" i="10" s="1"/>
  <c r="Z28" i="8"/>
  <c r="I26" i="2" s="1"/>
  <c r="G15" i="12"/>
  <c r="K15" i="10" s="1"/>
  <c r="C10" i="12"/>
  <c r="G10" i="10" s="1"/>
  <c r="S10" i="10" s="1"/>
  <c r="E36" i="12"/>
  <c r="I36" i="10" s="1"/>
  <c r="AA7" i="8"/>
  <c r="Z7" i="8"/>
  <c r="E20" i="12"/>
  <c r="I20" i="10" s="1"/>
  <c r="D43" i="10"/>
  <c r="AE43" i="8"/>
  <c r="D51" i="10"/>
  <c r="AE51" i="8"/>
  <c r="AC37" i="8"/>
  <c r="AD37" i="8" s="1"/>
  <c r="R37" i="10"/>
  <c r="AE10" i="8"/>
  <c r="E26" i="3" s="1"/>
  <c r="B14" i="12"/>
  <c r="F14" i="10" s="1"/>
  <c r="S14" i="10" s="1"/>
  <c r="AE22" i="8"/>
  <c r="AA25" i="8"/>
  <c r="Z25" i="8"/>
  <c r="D29" i="10"/>
  <c r="AE29" i="8"/>
  <c r="D58" i="10"/>
  <c r="AE58" i="8"/>
  <c r="D6" i="12"/>
  <c r="K49" i="12"/>
  <c r="O49" i="10" s="1"/>
  <c r="R51" i="10"/>
  <c r="AC51" i="8"/>
  <c r="AD51" i="8" s="1"/>
  <c r="G16" i="12"/>
  <c r="K16" i="10" s="1"/>
  <c r="F28" i="12"/>
  <c r="J28" i="10" s="1"/>
  <c r="H15" i="12"/>
  <c r="L15" i="10" s="1"/>
  <c r="S54" i="10"/>
  <c r="T54" i="10"/>
  <c r="J26" i="12"/>
  <c r="N26" i="10" s="1"/>
  <c r="F36" i="12"/>
  <c r="J36" i="10" s="1"/>
  <c r="J10" i="12"/>
  <c r="N10" i="10" s="1"/>
  <c r="AA18" i="8"/>
  <c r="Z18" i="8"/>
  <c r="G7" i="3" s="1"/>
  <c r="E21" i="2"/>
  <c r="J6" i="12"/>
  <c r="AE20" i="8"/>
  <c r="T33" i="10"/>
  <c r="S33" i="10"/>
  <c r="F14" i="12"/>
  <c r="J14" i="10" s="1"/>
  <c r="R27" i="10"/>
  <c r="AC27" i="8"/>
  <c r="AD27" i="8" s="1"/>
  <c r="T48" i="10"/>
  <c r="S48" i="10"/>
  <c r="F50" i="12"/>
  <c r="J50" i="10" s="1"/>
  <c r="J50" i="12"/>
  <c r="N50" i="10" s="1"/>
  <c r="H49" i="12"/>
  <c r="L49" i="10" s="1"/>
  <c r="D19" i="10"/>
  <c r="AE19" i="8"/>
  <c r="B50" i="12"/>
  <c r="F50" i="10" s="1"/>
  <c r="K6" i="12"/>
  <c r="D44" i="12"/>
  <c r="H44" i="10" s="1"/>
  <c r="F44" i="12"/>
  <c r="J44" i="10" s="1"/>
  <c r="B44" i="12"/>
  <c r="F44" i="10" s="1"/>
  <c r="E44" i="12"/>
  <c r="I44" i="10" s="1"/>
  <c r="AA24" i="8"/>
  <c r="Z24" i="8"/>
  <c r="D49" i="10"/>
  <c r="AE49" i="8"/>
  <c r="J16" i="12"/>
  <c r="N16" i="10" s="1"/>
  <c r="AA54" i="8"/>
  <c r="AC59" i="8"/>
  <c r="AD59" i="8" s="1"/>
  <c r="R59" i="10"/>
  <c r="AA33" i="8"/>
  <c r="K23" i="3" l="1"/>
  <c r="G23" i="3"/>
  <c r="G21" i="3"/>
  <c r="G25" i="3"/>
  <c r="G36" i="3"/>
  <c r="H20" i="3"/>
  <c r="K20" i="2"/>
  <c r="L20" i="2" s="1"/>
  <c r="G35" i="3"/>
  <c r="S26" i="10"/>
  <c r="K27" i="3"/>
  <c r="D33" i="3"/>
  <c r="Z21" i="3"/>
  <c r="J25" i="3"/>
  <c r="D32" i="3"/>
  <c r="K30" i="3"/>
  <c r="D23" i="3"/>
  <c r="C26" i="3"/>
  <c r="AC24" i="8"/>
  <c r="AD24" i="8" s="1"/>
  <c r="R24" i="10"/>
  <c r="R25" i="10"/>
  <c r="AC25" i="8"/>
  <c r="AD25" i="8" s="1"/>
  <c r="H10" i="5"/>
  <c r="H13" i="2" s="1"/>
  <c r="K12" i="6"/>
  <c r="H22" i="2"/>
  <c r="AC22" i="8"/>
  <c r="R22" i="10"/>
  <c r="H9" i="5"/>
  <c r="H12" i="2" s="1"/>
  <c r="G9" i="5"/>
  <c r="B22" i="3"/>
  <c r="B34" i="3"/>
  <c r="K33" i="3"/>
  <c r="H24" i="3"/>
  <c r="F25" i="3"/>
  <c r="C28" i="3"/>
  <c r="G33" i="3"/>
  <c r="J31" i="3"/>
  <c r="B24" i="3"/>
  <c r="I30" i="3"/>
  <c r="S22" i="10"/>
  <c r="J21" i="2"/>
  <c r="J33" i="3"/>
  <c r="G22" i="2"/>
  <c r="G27" i="3"/>
  <c r="J22" i="3"/>
  <c r="N6" i="10"/>
  <c r="C41" i="2"/>
  <c r="F41" i="2"/>
  <c r="E41" i="2"/>
  <c r="D41" i="2"/>
  <c r="I10" i="6"/>
  <c r="K10" i="6"/>
  <c r="I25" i="2"/>
  <c r="I24" i="2"/>
  <c r="K20" i="3"/>
  <c r="B21" i="3"/>
  <c r="B23" i="3"/>
  <c r="D26" i="3"/>
  <c r="G29" i="3"/>
  <c r="J36" i="3"/>
  <c r="C38" i="3"/>
  <c r="I32" i="3"/>
  <c r="Z24" i="3"/>
  <c r="E31" i="3"/>
  <c r="J6" i="10"/>
  <c r="F37" i="2"/>
  <c r="D37" i="2"/>
  <c r="C37" i="2"/>
  <c r="G37" i="2" s="1"/>
  <c r="E37" i="2"/>
  <c r="E38" i="3"/>
  <c r="AC18" i="8"/>
  <c r="AD18" i="8" s="1"/>
  <c r="R18" i="10"/>
  <c r="L6" i="6"/>
  <c r="M6" i="6" s="1"/>
  <c r="C27" i="3"/>
  <c r="F36" i="3"/>
  <c r="J10" i="6"/>
  <c r="B20" i="3"/>
  <c r="C37" i="3"/>
  <c r="I6" i="10"/>
  <c r="C36" i="2"/>
  <c r="G36" i="2" s="1"/>
  <c r="D36" i="2"/>
  <c r="F36" i="2"/>
  <c r="E36" i="2"/>
  <c r="J21" i="3"/>
  <c r="I24" i="3"/>
  <c r="E28" i="3"/>
  <c r="G26" i="3"/>
  <c r="E36" i="3"/>
  <c r="C32" i="3"/>
  <c r="K24" i="2"/>
  <c r="L24" i="2" s="1"/>
  <c r="E21" i="3"/>
  <c r="D43" i="2"/>
  <c r="I26" i="3"/>
  <c r="Z23" i="3"/>
  <c r="H30" i="3"/>
  <c r="K36" i="3"/>
  <c r="T13" i="10"/>
  <c r="F32" i="3"/>
  <c r="T14" i="10"/>
  <c r="S12" i="10"/>
  <c r="F29" i="3"/>
  <c r="Z34" i="3"/>
  <c r="Z26" i="3"/>
  <c r="I38" i="3"/>
  <c r="M6" i="10"/>
  <c r="E40" i="2"/>
  <c r="C40" i="2"/>
  <c r="G40" i="2" s="1"/>
  <c r="D40" i="2"/>
  <c r="F40" i="2"/>
  <c r="F20" i="3"/>
  <c r="E37" i="3"/>
  <c r="F34" i="3"/>
  <c r="E33" i="3"/>
  <c r="F21" i="3"/>
  <c r="F28" i="3"/>
  <c r="D24" i="3"/>
  <c r="H39" i="3"/>
  <c r="H29" i="3"/>
  <c r="I12" i="6"/>
  <c r="D22" i="3"/>
  <c r="E27" i="3"/>
  <c r="I20" i="3"/>
  <c r="Z27" i="3"/>
  <c r="Z20" i="3"/>
  <c r="K25" i="3"/>
  <c r="B31" i="3"/>
  <c r="I25" i="3"/>
  <c r="K37" i="3"/>
  <c r="D30" i="3"/>
  <c r="AC7" i="8"/>
  <c r="AD7" i="8" s="1"/>
  <c r="R7" i="10"/>
  <c r="M5" i="2"/>
  <c r="L9" i="6"/>
  <c r="M9" i="6" s="1"/>
  <c r="D34" i="2"/>
  <c r="E34" i="2"/>
  <c r="C34" i="2"/>
  <c r="G34" i="2" s="1"/>
  <c r="G6" i="10"/>
  <c r="F34" i="2"/>
  <c r="N23" i="2"/>
  <c r="D31" i="3"/>
  <c r="C29" i="3"/>
  <c r="B33" i="3"/>
  <c r="E30" i="3"/>
  <c r="H22" i="3"/>
  <c r="D28" i="3"/>
  <c r="J32" i="3"/>
  <c r="B30" i="3"/>
  <c r="J38" i="3"/>
  <c r="Z30" i="3"/>
  <c r="G21" i="2"/>
  <c r="H21" i="2"/>
  <c r="R26" i="10"/>
  <c r="AC26" i="8"/>
  <c r="J20" i="2"/>
  <c r="K6" i="6"/>
  <c r="G23" i="2"/>
  <c r="J35" i="3"/>
  <c r="Z39" i="3"/>
  <c r="H31" i="3"/>
  <c r="I34" i="3"/>
  <c r="D25" i="3"/>
  <c r="G32" i="3"/>
  <c r="C35" i="3"/>
  <c r="G31" i="3"/>
  <c r="I39" i="3"/>
  <c r="J34" i="3"/>
  <c r="H33" i="3"/>
  <c r="O6" i="10"/>
  <c r="F42" i="2"/>
  <c r="E42" i="2"/>
  <c r="D42" i="2"/>
  <c r="C42" i="2"/>
  <c r="G42" i="2" s="1"/>
  <c r="I11" i="6"/>
  <c r="Z38" i="3"/>
  <c r="S11" i="10"/>
  <c r="B25" i="3"/>
  <c r="I37" i="3"/>
  <c r="Z33" i="3"/>
  <c r="Z37" i="3"/>
  <c r="G28" i="3"/>
  <c r="K26" i="3"/>
  <c r="C39" i="3"/>
  <c r="F39" i="3"/>
  <c r="K32" i="3"/>
  <c r="K38" i="3"/>
  <c r="F35" i="3"/>
  <c r="I8" i="6"/>
  <c r="C33" i="3"/>
  <c r="B39" i="3"/>
  <c r="C34" i="3"/>
  <c r="J30" i="3"/>
  <c r="H34" i="3"/>
  <c r="C30" i="3"/>
  <c r="D21" i="3"/>
  <c r="C25" i="3"/>
  <c r="F7" i="3"/>
  <c r="G24" i="3"/>
  <c r="I28" i="3"/>
  <c r="D39" i="3"/>
  <c r="E39" i="3"/>
  <c r="E43" i="2"/>
  <c r="I21" i="3"/>
  <c r="S24" i="10"/>
  <c r="Z32" i="3"/>
  <c r="J26" i="3"/>
  <c r="K39" i="3"/>
  <c r="F24" i="3"/>
  <c r="G10" i="5"/>
  <c r="D29" i="3"/>
  <c r="Z22" i="3"/>
  <c r="K11" i="6"/>
  <c r="J26" i="2"/>
  <c r="E35" i="3"/>
  <c r="G38" i="3"/>
  <c r="H26" i="3"/>
  <c r="F30" i="3"/>
  <c r="E29" i="3"/>
  <c r="K22" i="3"/>
  <c r="G20" i="3"/>
  <c r="Z35" i="3"/>
  <c r="J39" i="3"/>
  <c r="B36" i="3"/>
  <c r="S28" i="10"/>
  <c r="H25" i="2"/>
  <c r="K25" i="2" s="1"/>
  <c r="L25" i="2" s="1"/>
  <c r="L14" i="6"/>
  <c r="M14" i="6" s="1"/>
  <c r="G39" i="3"/>
  <c r="D36" i="3"/>
  <c r="H35" i="3"/>
  <c r="F27" i="3"/>
  <c r="C23" i="3"/>
  <c r="G37" i="3"/>
  <c r="E7" i="3"/>
  <c r="C22" i="3"/>
  <c r="E32" i="3"/>
  <c r="AC23" i="8"/>
  <c r="R23" i="10"/>
  <c r="B37" i="3"/>
  <c r="I33" i="3"/>
  <c r="C31" i="3"/>
  <c r="D38" i="3"/>
  <c r="I21" i="2"/>
  <c r="I7" i="5"/>
  <c r="I10" i="2" s="1"/>
  <c r="Z36" i="3"/>
  <c r="R19" i="10"/>
  <c r="AC19" i="8"/>
  <c r="C43" i="2"/>
  <c r="G43" i="2" s="1"/>
  <c r="I22" i="3"/>
  <c r="R20" i="10"/>
  <c r="AC20" i="8"/>
  <c r="AD20" i="8" s="1"/>
  <c r="C44" i="2"/>
  <c r="G44" i="2" s="1"/>
  <c r="D44" i="2"/>
  <c r="Q6" i="10"/>
  <c r="F44" i="2"/>
  <c r="E44" i="2"/>
  <c r="Z28" i="3"/>
  <c r="E23" i="3"/>
  <c r="E22" i="3"/>
  <c r="K34" i="3"/>
  <c r="F33" i="3"/>
  <c r="H25" i="3"/>
  <c r="K21" i="3"/>
  <c r="F37" i="3"/>
  <c r="J20" i="3"/>
  <c r="E20" i="3"/>
  <c r="I10" i="5"/>
  <c r="I13" i="2" s="1"/>
  <c r="B32" i="3"/>
  <c r="H23" i="2"/>
  <c r="R15" i="10"/>
  <c r="AC15" i="8"/>
  <c r="R29" i="10"/>
  <c r="AC29" i="8"/>
  <c r="AD29" i="8" s="1"/>
  <c r="G34" i="3"/>
  <c r="B29" i="3"/>
  <c r="C24" i="3"/>
  <c r="AC9" i="8"/>
  <c r="AD9" i="8" s="1"/>
  <c r="R9" i="10"/>
  <c r="Z25" i="3"/>
  <c r="F33" i="2"/>
  <c r="E33" i="2"/>
  <c r="D33" i="2"/>
  <c r="F6" i="10"/>
  <c r="C33" i="2"/>
  <c r="G33" i="2" s="1"/>
  <c r="J7" i="6"/>
  <c r="D20" i="3"/>
  <c r="Z29" i="3"/>
  <c r="H32" i="3"/>
  <c r="J27" i="3"/>
  <c r="D37" i="3"/>
  <c r="S16" i="10"/>
  <c r="J23" i="2"/>
  <c r="D34" i="3"/>
  <c r="D35" i="3"/>
  <c r="F38" i="3"/>
  <c r="G26" i="2"/>
  <c r="K26" i="2" s="1"/>
  <c r="L26" i="2" s="1"/>
  <c r="H38" i="3"/>
  <c r="Z31" i="3"/>
  <c r="J29" i="3"/>
  <c r="H8" i="5"/>
  <c r="H11" i="2" s="1"/>
  <c r="J14" i="6"/>
  <c r="F43" i="2"/>
  <c r="E34" i="3"/>
  <c r="J37" i="3"/>
  <c r="R6" i="10"/>
  <c r="G5" i="2"/>
  <c r="H5" i="2"/>
  <c r="AC6" i="8"/>
  <c r="F5" i="2"/>
  <c r="D5" i="2" s="1"/>
  <c r="E5" i="2"/>
  <c r="H6" i="5"/>
  <c r="H9" i="2" s="1"/>
  <c r="I6" i="5"/>
  <c r="I9" i="2" s="1"/>
  <c r="G6" i="5"/>
  <c r="R16" i="10"/>
  <c r="AC16" i="8"/>
  <c r="AD16" i="8" s="1"/>
  <c r="C20" i="3"/>
  <c r="J11" i="6"/>
  <c r="AC8" i="8"/>
  <c r="R8" i="10"/>
  <c r="I5" i="2"/>
  <c r="R28" i="10"/>
  <c r="AC28" i="8"/>
  <c r="R17" i="10"/>
  <c r="AC17" i="8"/>
  <c r="K14" i="6"/>
  <c r="I23" i="2"/>
  <c r="H24" i="2"/>
  <c r="I31" i="3"/>
  <c r="E25" i="3"/>
  <c r="F31" i="3"/>
  <c r="H28" i="3"/>
  <c r="C36" i="3"/>
  <c r="B28" i="3"/>
  <c r="F26" i="3"/>
  <c r="K28" i="3"/>
  <c r="H21" i="3"/>
  <c r="K24" i="3"/>
  <c r="S20" i="10"/>
  <c r="R12" i="10"/>
  <c r="AC12" i="8"/>
  <c r="AD12" i="8" s="1"/>
  <c r="J28" i="3"/>
  <c r="K35" i="3"/>
  <c r="G7" i="5"/>
  <c r="I7" i="6"/>
  <c r="H7" i="5"/>
  <c r="H10" i="2" s="1"/>
  <c r="I35" i="3"/>
  <c r="I29" i="3"/>
  <c r="H36" i="3"/>
  <c r="L13" i="6"/>
  <c r="M13" i="6" s="1"/>
  <c r="F38" i="2"/>
  <c r="E38" i="2"/>
  <c r="D38" i="2"/>
  <c r="K6" i="10"/>
  <c r="C38" i="2"/>
  <c r="G38" i="2" s="1"/>
  <c r="H27" i="3"/>
  <c r="B26" i="3"/>
  <c r="B35" i="3"/>
  <c r="B38" i="3"/>
  <c r="I23" i="3"/>
  <c r="J8" i="6"/>
  <c r="H23" i="3"/>
  <c r="G22" i="3"/>
  <c r="J23" i="3"/>
  <c r="J24" i="3"/>
  <c r="E24" i="3"/>
  <c r="R14" i="10"/>
  <c r="AC14" i="8"/>
  <c r="AD14" i="8" s="1"/>
  <c r="G8" i="5"/>
  <c r="J6" i="6"/>
  <c r="AC10" i="8"/>
  <c r="AD10" i="8" s="1"/>
  <c r="R10" i="10"/>
  <c r="H37" i="3"/>
  <c r="D27" i="3"/>
  <c r="F39" i="2"/>
  <c r="D39" i="2"/>
  <c r="C39" i="2"/>
  <c r="G39" i="2" s="1"/>
  <c r="E39" i="2"/>
  <c r="L6" i="10"/>
  <c r="D35" i="2"/>
  <c r="C35" i="2"/>
  <c r="G35" i="2" s="1"/>
  <c r="F35" i="2"/>
  <c r="E35" i="2"/>
  <c r="H6" i="10"/>
  <c r="K7" i="6"/>
  <c r="H20" i="2"/>
  <c r="J24" i="2"/>
  <c r="K31" i="3"/>
  <c r="F23" i="3"/>
  <c r="B27" i="3"/>
  <c r="G30" i="3"/>
  <c r="C21" i="3"/>
  <c r="I36" i="3"/>
  <c r="I27" i="3"/>
  <c r="K29" i="3"/>
  <c r="F22" i="3"/>
  <c r="R21" i="10"/>
  <c r="AC21" i="8"/>
  <c r="H7" i="3" l="1"/>
  <c r="K22" i="2"/>
  <c r="L22" i="2" s="1"/>
  <c r="AD15" i="8"/>
  <c r="Y26" i="3"/>
  <c r="T26" i="3"/>
  <c r="W26" i="3"/>
  <c r="R26" i="3"/>
  <c r="Q26" i="3"/>
  <c r="P26" i="3"/>
  <c r="M26" i="3"/>
  <c r="L26" i="3"/>
  <c r="X26" i="3"/>
  <c r="V26" i="3"/>
  <c r="U26" i="3"/>
  <c r="S26" i="3"/>
  <c r="O26" i="3"/>
  <c r="A26" i="3"/>
  <c r="N26" i="3"/>
  <c r="L11" i="6"/>
  <c r="AD19" i="8"/>
  <c r="O34" i="3"/>
  <c r="N34" i="3"/>
  <c r="M34" i="3"/>
  <c r="L34" i="3"/>
  <c r="W34" i="3"/>
  <c r="R34" i="3"/>
  <c r="Q34" i="3"/>
  <c r="Y34" i="3"/>
  <c r="X34" i="3"/>
  <c r="U34" i="3"/>
  <c r="T34" i="3"/>
  <c r="V34" i="3"/>
  <c r="P34" i="3"/>
  <c r="S34" i="3"/>
  <c r="A34" i="3"/>
  <c r="L10" i="6"/>
  <c r="M10" i="6" s="1"/>
  <c r="K23" i="2"/>
  <c r="L23" i="2" s="1"/>
  <c r="X25" i="3"/>
  <c r="Y25" i="3"/>
  <c r="S25" i="3"/>
  <c r="R25" i="3"/>
  <c r="Q25" i="3"/>
  <c r="N25" i="3"/>
  <c r="A25" i="3"/>
  <c r="M25" i="3"/>
  <c r="L25" i="3"/>
  <c r="V25" i="3"/>
  <c r="W25" i="3"/>
  <c r="U25" i="3"/>
  <c r="T25" i="3"/>
  <c r="P25" i="3"/>
  <c r="O25" i="3"/>
  <c r="S6" i="10"/>
  <c r="T6" i="10"/>
  <c r="G11" i="2"/>
  <c r="J8" i="5"/>
  <c r="AD23" i="8"/>
  <c r="P30" i="3"/>
  <c r="Q30" i="3"/>
  <c r="O30" i="3"/>
  <c r="N30" i="3"/>
  <c r="Y30" i="3"/>
  <c r="X30" i="3"/>
  <c r="V30" i="3"/>
  <c r="U30" i="3"/>
  <c r="W30" i="3"/>
  <c r="T30" i="3"/>
  <c r="R30" i="3"/>
  <c r="M30" i="3"/>
  <c r="L30" i="3"/>
  <c r="A30" i="3"/>
  <c r="S30" i="3"/>
  <c r="T24" i="3"/>
  <c r="S24" i="3"/>
  <c r="R24" i="3"/>
  <c r="O24" i="3"/>
  <c r="A24" i="3"/>
  <c r="Y24" i="3"/>
  <c r="W24" i="3"/>
  <c r="U24" i="3"/>
  <c r="P24" i="3"/>
  <c r="X24" i="3"/>
  <c r="V24" i="3"/>
  <c r="Q24" i="3"/>
  <c r="N24" i="3"/>
  <c r="M24" i="3"/>
  <c r="L24" i="3"/>
  <c r="J6" i="5"/>
  <c r="G9" i="2"/>
  <c r="W32" i="3"/>
  <c r="A32" i="3"/>
  <c r="R32" i="3"/>
  <c r="L32" i="3"/>
  <c r="O32" i="3"/>
  <c r="N32" i="3"/>
  <c r="M32" i="3"/>
  <c r="X32" i="3"/>
  <c r="V32" i="3"/>
  <c r="U32" i="3"/>
  <c r="T32" i="3"/>
  <c r="S32" i="3"/>
  <c r="Q32" i="3"/>
  <c r="P32" i="3"/>
  <c r="Y32" i="3"/>
  <c r="Q28" i="3"/>
  <c r="L28" i="3"/>
  <c r="T28" i="3"/>
  <c r="R28" i="3"/>
  <c r="P28" i="3"/>
  <c r="O28" i="3"/>
  <c r="Y28" i="3"/>
  <c r="S28" i="3"/>
  <c r="N28" i="3"/>
  <c r="A28" i="3"/>
  <c r="M28" i="3"/>
  <c r="U28" i="3"/>
  <c r="X28" i="3"/>
  <c r="W28" i="3"/>
  <c r="V28" i="3"/>
  <c r="G41" i="2"/>
  <c r="AD21" i="8"/>
  <c r="AD13" i="8"/>
  <c r="AD6" i="8"/>
  <c r="AD26" i="8"/>
  <c r="Y37" i="3"/>
  <c r="T37" i="3"/>
  <c r="L37" i="3"/>
  <c r="W37" i="3"/>
  <c r="V37" i="3"/>
  <c r="R37" i="3"/>
  <c r="U37" i="3"/>
  <c r="S37" i="3"/>
  <c r="Q37" i="3"/>
  <c r="O37" i="3"/>
  <c r="N37" i="3"/>
  <c r="A37" i="3"/>
  <c r="X37" i="3"/>
  <c r="P37" i="3"/>
  <c r="M37" i="3"/>
  <c r="K21" i="2"/>
  <c r="L21" i="2" s="1"/>
  <c r="V31" i="3"/>
  <c r="N31" i="3"/>
  <c r="P31" i="3"/>
  <c r="O31" i="3"/>
  <c r="M31" i="3"/>
  <c r="A31" i="3"/>
  <c r="Y31" i="3"/>
  <c r="X31" i="3"/>
  <c r="Q31" i="3"/>
  <c r="U31" i="3"/>
  <c r="T31" i="3"/>
  <c r="S31" i="3"/>
  <c r="L31" i="3"/>
  <c r="W31" i="3"/>
  <c r="R31" i="3"/>
  <c r="U27" i="3"/>
  <c r="P27" i="3"/>
  <c r="V27" i="3"/>
  <c r="R27" i="3"/>
  <c r="Q27" i="3"/>
  <c r="O27" i="3"/>
  <c r="L27" i="3"/>
  <c r="T27" i="3"/>
  <c r="Y27" i="3"/>
  <c r="X27" i="3"/>
  <c r="W27" i="3"/>
  <c r="S27" i="3"/>
  <c r="N27" i="3"/>
  <c r="M27" i="3"/>
  <c r="A27" i="3"/>
  <c r="AD17" i="8"/>
  <c r="L7" i="6"/>
  <c r="M7" i="6" s="1"/>
  <c r="Q39" i="3"/>
  <c r="L39" i="3"/>
  <c r="X39" i="3"/>
  <c r="R39" i="3"/>
  <c r="A39" i="3"/>
  <c r="O39" i="3"/>
  <c r="N39" i="3"/>
  <c r="M39" i="3"/>
  <c r="Y39" i="3"/>
  <c r="V39" i="3"/>
  <c r="P39" i="3"/>
  <c r="W39" i="3"/>
  <c r="U39" i="3"/>
  <c r="T39" i="3"/>
  <c r="S39" i="3"/>
  <c r="S22" i="3"/>
  <c r="N22" i="3"/>
  <c r="V22" i="3"/>
  <c r="U22" i="3"/>
  <c r="T22" i="3"/>
  <c r="P22" i="3"/>
  <c r="Q22" i="3"/>
  <c r="O22" i="3"/>
  <c r="W22" i="3"/>
  <c r="R22" i="3"/>
  <c r="L22" i="3"/>
  <c r="M22" i="3"/>
  <c r="A22" i="3"/>
  <c r="Y22" i="3"/>
  <c r="X22" i="3"/>
  <c r="U38" i="3"/>
  <c r="P38" i="3"/>
  <c r="M38" i="3"/>
  <c r="Y38" i="3"/>
  <c r="W38" i="3"/>
  <c r="V38" i="3"/>
  <c r="X38" i="3"/>
  <c r="T38" i="3"/>
  <c r="S38" i="3"/>
  <c r="R38" i="3"/>
  <c r="Q38" i="3"/>
  <c r="O38" i="3"/>
  <c r="N38" i="3"/>
  <c r="L38" i="3"/>
  <c r="A38" i="3"/>
  <c r="J9" i="5"/>
  <c r="G12" i="2"/>
  <c r="N35" i="3"/>
  <c r="M35" i="3"/>
  <c r="L35" i="3"/>
  <c r="U35" i="3"/>
  <c r="T35" i="3"/>
  <c r="A35" i="3"/>
  <c r="V35" i="3"/>
  <c r="P35" i="3"/>
  <c r="Q35" i="3"/>
  <c r="Y35" i="3"/>
  <c r="X35" i="3"/>
  <c r="S35" i="3"/>
  <c r="R35" i="3"/>
  <c r="O35" i="3"/>
  <c r="W35" i="3"/>
  <c r="X36" i="3"/>
  <c r="M36" i="3"/>
  <c r="L36" i="3"/>
  <c r="Y36" i="3"/>
  <c r="W36" i="3"/>
  <c r="P36" i="3"/>
  <c r="O36" i="3"/>
  <c r="N36" i="3"/>
  <c r="A36" i="3"/>
  <c r="V36" i="3"/>
  <c r="U36" i="3"/>
  <c r="T36" i="3"/>
  <c r="S36" i="3"/>
  <c r="R36" i="3"/>
  <c r="Q36" i="3"/>
  <c r="AD11" i="8"/>
  <c r="AD22" i="8"/>
  <c r="G10" i="2"/>
  <c r="J7" i="5"/>
  <c r="AD28" i="8"/>
  <c r="L8" i="6"/>
  <c r="M8" i="6" s="1"/>
  <c r="O23" i="3"/>
  <c r="U23" i="3"/>
  <c r="T23" i="3"/>
  <c r="S23" i="3"/>
  <c r="P23" i="3"/>
  <c r="X23" i="3"/>
  <c r="W23" i="3"/>
  <c r="Y23" i="3"/>
  <c r="V23" i="3"/>
  <c r="Q23" i="3"/>
  <c r="N23" i="3"/>
  <c r="R23" i="3"/>
  <c r="M23" i="3"/>
  <c r="L23" i="3"/>
  <c r="A23" i="3"/>
  <c r="G13" i="2"/>
  <c r="J10" i="5"/>
  <c r="W21" i="3"/>
  <c r="A21" i="3"/>
  <c r="R21" i="3"/>
  <c r="V21" i="3"/>
  <c r="U21" i="3"/>
  <c r="T21" i="3"/>
  <c r="P21" i="3"/>
  <c r="S21" i="3"/>
  <c r="L21" i="3"/>
  <c r="O21" i="3"/>
  <c r="N21" i="3"/>
  <c r="Y21" i="3"/>
  <c r="X21" i="3"/>
  <c r="Q21" i="3"/>
  <c r="M21" i="3"/>
  <c r="M29" i="3"/>
  <c r="R29" i="3"/>
  <c r="Q29" i="3"/>
  <c r="P29" i="3"/>
  <c r="O29" i="3"/>
  <c r="W29" i="3"/>
  <c r="V29" i="3"/>
  <c r="S29" i="3"/>
  <c r="N29" i="3"/>
  <c r="L29" i="3"/>
  <c r="Y29" i="3"/>
  <c r="X29" i="3"/>
  <c r="U29" i="3"/>
  <c r="T29" i="3"/>
  <c r="A29" i="3"/>
  <c r="S33" i="3"/>
  <c r="N33" i="3"/>
  <c r="O33" i="3"/>
  <c r="M33" i="3"/>
  <c r="L33" i="3"/>
  <c r="T33" i="3"/>
  <c r="W33" i="3"/>
  <c r="V33" i="3"/>
  <c r="R33" i="3"/>
  <c r="Q33" i="3"/>
  <c r="U33" i="3"/>
  <c r="P33" i="3"/>
  <c r="X33" i="3"/>
  <c r="Y33" i="3"/>
  <c r="A33" i="3"/>
  <c r="V20" i="3"/>
  <c r="W20" i="3"/>
  <c r="U20" i="3"/>
  <c r="T20" i="3"/>
  <c r="Q20" i="3"/>
  <c r="N20" i="3"/>
  <c r="A20" i="3"/>
  <c r="Y20" i="3"/>
  <c r="X20" i="3"/>
  <c r="R20" i="3"/>
  <c r="O20" i="3"/>
  <c r="L20" i="3"/>
  <c r="S20" i="3"/>
  <c r="M20" i="3"/>
  <c r="P20" i="3"/>
  <c r="AD8" i="8"/>
  <c r="L12" i="6"/>
  <c r="M12" i="6" s="1"/>
  <c r="K6" i="5" l="1"/>
  <c r="K9" i="2" s="1"/>
  <c r="J9" i="2"/>
  <c r="K9" i="5"/>
  <c r="K12" i="2" s="1"/>
  <c r="J12" i="2"/>
  <c r="M11" i="6"/>
  <c r="H11" i="3" s="1"/>
  <c r="G11" i="3"/>
  <c r="I68" i="2"/>
  <c r="I66" i="2"/>
  <c r="I64" i="2"/>
  <c r="I62" i="2"/>
  <c r="I60" i="2"/>
  <c r="I58" i="2"/>
  <c r="I56" i="2"/>
  <c r="I54" i="2"/>
  <c r="I52" i="2"/>
  <c r="I50" i="2"/>
  <c r="C68" i="2"/>
  <c r="C66" i="2"/>
  <c r="C64" i="2"/>
  <c r="C62" i="2"/>
  <c r="C60" i="2"/>
  <c r="C58" i="2"/>
  <c r="C56" i="2"/>
  <c r="C54" i="2"/>
  <c r="C52" i="2"/>
  <c r="C50" i="2"/>
  <c r="G68" i="2"/>
  <c r="E66" i="2"/>
  <c r="P63" i="2"/>
  <c r="K61" i="2"/>
  <c r="I59" i="2"/>
  <c r="G57" i="2"/>
  <c r="E55" i="2"/>
  <c r="B53" i="2"/>
  <c r="M50" i="2"/>
  <c r="B67" i="2"/>
  <c r="K64" i="2"/>
  <c r="G62" i="2"/>
  <c r="B60" i="2"/>
  <c r="K57" i="2"/>
  <c r="H55" i="2"/>
  <c r="E53" i="2"/>
  <c r="P50" i="2"/>
  <c r="P66" i="2"/>
  <c r="J64" i="2"/>
  <c r="F62" i="2"/>
  <c r="P59" i="2"/>
  <c r="J57" i="2"/>
  <c r="G55" i="2"/>
  <c r="C53" i="2"/>
  <c r="K50" i="2"/>
  <c r="M66" i="2"/>
  <c r="H64" i="2"/>
  <c r="E62" i="2"/>
  <c r="M59" i="2"/>
  <c r="I57" i="2"/>
  <c r="F55" i="2"/>
  <c r="P52" i="2"/>
  <c r="J50" i="2"/>
  <c r="M68" i="2"/>
  <c r="H66" i="2"/>
  <c r="E64" i="2"/>
  <c r="M61" i="2"/>
  <c r="H59" i="2"/>
  <c r="E57" i="2"/>
  <c r="P54" i="2"/>
  <c r="J52" i="2"/>
  <c r="F50" i="2"/>
  <c r="F67" i="2"/>
  <c r="F64" i="2"/>
  <c r="G61" i="2"/>
  <c r="K58" i="2"/>
  <c r="P55" i="2"/>
  <c r="G66" i="2"/>
  <c r="I63" i="2"/>
  <c r="P60" i="2"/>
  <c r="E58" i="2"/>
  <c r="C55" i="2"/>
  <c r="F52" i="2"/>
  <c r="I49" i="2"/>
  <c r="M67" i="2"/>
  <c r="B65" i="2"/>
  <c r="I61" i="2"/>
  <c r="J58" i="2"/>
  <c r="J55" i="2"/>
  <c r="G52" i="2"/>
  <c r="H49" i="2"/>
  <c r="K67" i="2"/>
  <c r="P64" i="2"/>
  <c r="H61" i="2"/>
  <c r="H58" i="2"/>
  <c r="I55" i="2"/>
  <c r="E52" i="2"/>
  <c r="G49" i="2"/>
  <c r="I67" i="2"/>
  <c r="F58" i="2"/>
  <c r="P51" i="2"/>
  <c r="H67" i="2"/>
  <c r="C61" i="2"/>
  <c r="B58" i="2"/>
  <c r="M51" i="2"/>
  <c r="E61" i="2"/>
  <c r="G67" i="2"/>
  <c r="J67" i="2"/>
  <c r="M64" i="2"/>
  <c r="F61" i="2"/>
  <c r="G58" i="2"/>
  <c r="B55" i="2"/>
  <c r="B52" i="2"/>
  <c r="F49" i="2"/>
  <c r="G64" i="2"/>
  <c r="M54" i="2"/>
  <c r="E49" i="2"/>
  <c r="B64" i="2"/>
  <c r="K54" i="2"/>
  <c r="C49" i="2"/>
  <c r="M63" i="2"/>
  <c r="B61" i="2"/>
  <c r="P57" i="2"/>
  <c r="J54" i="2"/>
  <c r="K51" i="2"/>
  <c r="B49" i="2"/>
  <c r="C67" i="2"/>
  <c r="J63" i="2"/>
  <c r="K60" i="2"/>
  <c r="H57" i="2"/>
  <c r="G54" i="2"/>
  <c r="I51" i="2"/>
  <c r="K66" i="2"/>
  <c r="H63" i="2"/>
  <c r="J60" i="2"/>
  <c r="F57" i="2"/>
  <c r="F54" i="2"/>
  <c r="H51" i="2"/>
  <c r="K68" i="2"/>
  <c r="G63" i="2"/>
  <c r="E59" i="2"/>
  <c r="P53" i="2"/>
  <c r="M49" i="2"/>
  <c r="J68" i="2"/>
  <c r="F63" i="2"/>
  <c r="C59" i="2"/>
  <c r="M53" i="2"/>
  <c r="K49" i="2"/>
  <c r="C63" i="2"/>
  <c r="B63" i="2"/>
  <c r="I53" i="2"/>
  <c r="B68" i="2"/>
  <c r="M57" i="2"/>
  <c r="P67" i="2"/>
  <c r="M62" i="2"/>
  <c r="C57" i="2"/>
  <c r="P58" i="2"/>
  <c r="P62" i="2"/>
  <c r="H68" i="2"/>
  <c r="E63" i="2"/>
  <c r="B59" i="2"/>
  <c r="K53" i="2"/>
  <c r="J49" i="2"/>
  <c r="F68" i="2"/>
  <c r="J53" i="2"/>
  <c r="E68" i="2"/>
  <c r="M58" i="2"/>
  <c r="H53" i="2"/>
  <c r="G53" i="2"/>
  <c r="F51" i="2"/>
  <c r="F56" i="2"/>
  <c r="H65" i="2"/>
  <c r="G65" i="2"/>
  <c r="H50" i="2"/>
  <c r="K55" i="2"/>
  <c r="P49" i="2"/>
  <c r="I65" i="2"/>
  <c r="B51" i="2"/>
  <c r="E60" i="2"/>
  <c r="G50" i="2"/>
  <c r="B54" i="2"/>
  <c r="E67" i="2"/>
  <c r="K62" i="2"/>
  <c r="B57" i="2"/>
  <c r="F53" i="2"/>
  <c r="J66" i="2"/>
  <c r="J62" i="2"/>
  <c r="M52" i="2"/>
  <c r="H62" i="2"/>
  <c r="K52" i="2"/>
  <c r="B66" i="2"/>
  <c r="K56" i="2"/>
  <c r="H52" i="2"/>
  <c r="P65" i="2"/>
  <c r="J56" i="2"/>
  <c r="M65" i="2"/>
  <c r="J61" i="2"/>
  <c r="K65" i="2"/>
  <c r="J65" i="2"/>
  <c r="H60" i="2"/>
  <c r="E56" i="2"/>
  <c r="B56" i="2"/>
  <c r="F65" i="2"/>
  <c r="F59" i="2"/>
  <c r="P56" i="2"/>
  <c r="F66" i="2"/>
  <c r="B62" i="2"/>
  <c r="P61" i="2"/>
  <c r="J51" i="2"/>
  <c r="H56" i="2"/>
  <c r="M60" i="2"/>
  <c r="C51" i="2"/>
  <c r="K59" i="2"/>
  <c r="M56" i="2"/>
  <c r="G51" i="2"/>
  <c r="G56" i="2"/>
  <c r="E51" i="2"/>
  <c r="G60" i="2"/>
  <c r="F60" i="2"/>
  <c r="M55" i="2"/>
  <c r="P68" i="2"/>
  <c r="E65" i="2"/>
  <c r="J59" i="2"/>
  <c r="H54" i="2"/>
  <c r="E50" i="2"/>
  <c r="G59" i="2"/>
  <c r="B50" i="2"/>
  <c r="C65" i="2"/>
  <c r="E54" i="2"/>
  <c r="K63" i="2"/>
  <c r="J10" i="2"/>
  <c r="K7" i="5"/>
  <c r="K10" i="2" s="1"/>
  <c r="K8" i="5"/>
  <c r="K11" i="2" s="1"/>
  <c r="J11" i="2"/>
  <c r="J13" i="2"/>
  <c r="K10" i="5"/>
  <c r="K13" i="2" s="1"/>
</calcChain>
</file>

<file path=xl/sharedStrings.xml><?xml version="1.0" encoding="utf-8"?>
<sst xmlns="http://schemas.openxmlformats.org/spreadsheetml/2006/main" count="777" uniqueCount="362">
  <si>
    <t>Strategy to KPI and KRI toolkit</t>
  </si>
  <si>
    <t>Free template from ravishankaragrawal.com. Strategy, department tracking, KPIs, KRIs, actions and a dashboard in one file.</t>
  </si>
  <si>
    <t>How everything links</t>
  </si>
  <si>
    <t>Strategy</t>
  </si>
  <si>
    <t>Company objectives C1, C2... The board's few big goals.</t>
  </si>
  <si>
    <t>Cascade</t>
  </si>
  <si>
    <t>Each company objective split into department objectives D1, D2... with one owner. Each row names its department.</t>
  </si>
  <si>
    <t>Measures</t>
  </si>
  <si>
    <t>Every KPI and KRI points to one department objective. Department and company objective fill in by themselves.</t>
  </si>
  <si>
    <t>Tracker</t>
  </si>
  <si>
    <t>Rows follow the Measures sheet. You type the monthly result. Status is worked out for the reporting month.</t>
  </si>
  <si>
    <t>Actions</t>
  </si>
  <si>
    <t>Every action points to a measure ID, so it shows up under the right department and measure.</t>
  </si>
  <si>
    <t>Dashboard</t>
  </si>
  <si>
    <t>Rolls everything up: company objectives, departments, month by month, and a list of what needs attention.</t>
  </si>
  <si>
    <t>Department view</t>
  </si>
  <si>
    <t>Pick a department and see only its objectives, measures, 12-month history and open actions.</t>
  </si>
  <si>
    <t>Heatmap</t>
  </si>
  <si>
    <t>Every measure, every month, in one grid. Good for spotting things that have been red for a while.</t>
  </si>
  <si>
    <t>Review log</t>
  </si>
  <si>
    <t>Every change to a target or limit, with the reason and who approved it.</t>
  </si>
  <si>
    <t>Monthly routine</t>
  </si>
  <si>
    <t>1. On Setup, change the reporting month.</t>
  </si>
  <si>
    <t>2. On Tracker, each owner types their result in that month's column (it is outlined, and the header turns gold).</t>
  </si>
  <si>
    <t>3. Owners add a short comment for anything amber or red: what happened, what we are doing, when it will be green.</t>
  </si>
  <si>
    <t>4. Add any new actions to the Actions sheet. Mark finished ones Done with the date.</t>
  </si>
  <si>
    <t>5. Open the Dashboard. Start the meeting with 'Needs attention', then the department table.</t>
  </si>
  <si>
    <t>6. Each head of department can use Department view for their own monthly meeting.</t>
  </si>
  <si>
    <t>How the colours and scores work</t>
  </si>
  <si>
    <t>Green</t>
  </si>
  <si>
    <t>At or better than the green limit. For a KPI that is the target, for a KRI it is the risk appetite.</t>
  </si>
  <si>
    <t>Amber</t>
  </si>
  <si>
    <t>Past the green limit but not past the amber limit (lowest acceptable result, or risk tolerance).</t>
  </si>
  <si>
    <t>Red</t>
  </si>
  <si>
    <t>Past the amber limit. For a KRI, the 'Action when red' on the Measures sheet should start.</t>
  </si>
  <si>
    <t>Better when</t>
  </si>
  <si>
    <t>Tells the sheet if a higher number is good (sales) or a lower number is good (overdue receivables).</t>
  </si>
  <si>
    <t>Score</t>
  </si>
  <si>
    <t>Green counts 1, amber counts half, red counts 0, divided by measures with data. 75% or more is On track, 50% to 74% is Watch, below 50% is Off track.</t>
  </si>
  <si>
    <t>Trend</t>
  </si>
  <si>
    <t>This month compared with last month. Improving or Worsening respects 'Better when'.</t>
  </si>
  <si>
    <t>Good to know</t>
  </si>
  <si>
    <t>Yellow cells with blue text are for you to type in. Everything else is a formula, so leave it alone.</t>
  </si>
  <si>
    <t>The file comes filled in with a made-up retail company (January to September 2026). Overwrite it with your own.</t>
  </si>
  <si>
    <t>Add new measures at the bottom of the Measures sheet and do not sort it, because the Tracker rows follow it line by line.</t>
  </si>
  <si>
    <t>The Check columns on Cascade and Measures go red when something does not link up: a missing objective, a duplicate ID, limits the wrong way round.</t>
  </si>
  <si>
    <t>Room for 10 company objectives, 60 department objectives, 60 measures, 15 departments and 100 actions.</t>
  </si>
  <si>
    <t>Read the guide that goes with this file at ravishankaragrawal.com/writing.</t>
  </si>
  <si>
    <t>Measures tracked</t>
  </si>
  <si>
    <t>On target</t>
  </si>
  <si>
    <t>With data</t>
  </si>
  <si>
    <t>KRIs past tolerance</t>
  </si>
  <si>
    <t>Open actions</t>
  </si>
  <si>
    <t>Overdue actions</t>
  </si>
  <si>
    <t>Are we on track for each strategic objective?</t>
  </si>
  <si>
    <t>ID</t>
  </si>
  <si>
    <t>Objective</t>
  </si>
  <si>
    <t>Rating</t>
  </si>
  <si>
    <t>How is each department doing?</t>
  </si>
  <si>
    <t>Department</t>
  </si>
  <si>
    <t>Head</t>
  </si>
  <si>
    <t>KPIs</t>
  </si>
  <si>
    <t>KRIs</t>
  </si>
  <si>
    <t>No data</t>
  </si>
  <si>
    <t>Overdue</t>
  </si>
  <si>
    <t>Month by month</t>
  </si>
  <si>
    <t>Month</t>
  </si>
  <si>
    <t>% on target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</si>
  <si>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</si>
  <si>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</si>
  <si>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</si>
  <si>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</si>
  <si>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</si>
  <si>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</si>
  <si>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</si>
  <si>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</si>
  <si>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</si>
  <si>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</si>
  <si>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</si>
  <si>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</si>
  <si>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Needs attention this month (red first, then amber)</t>
  </si>
  <si>
    <t>#</t>
  </si>
  <si>
    <t>Measure</t>
  </si>
  <si>
    <t>Type</t>
  </si>
  <si>
    <t>This month</t>
  </si>
  <si>
    <t>Green limit</t>
  </si>
  <si>
    <t>Status</t>
  </si>
  <si>
    <t>Owner</t>
  </si>
  <si>
    <t>Comment / action agreed</t>
  </si>
  <si>
    <t>Finance</t>
  </si>
  <si>
    <t>Head:</t>
  </si>
  <si>
    <t>Health score</t>
  </si>
  <si>
    <t>Department objectives</t>
  </si>
  <si>
    <t>Supports</t>
  </si>
  <si>
    <t>Measures this month, with the last 12 months of status</t>
  </si>
  <si>
    <t>Last month</t>
  </si>
  <si>
    <t>Amber limit</t>
  </si>
  <si>
    <t>unit</t>
  </si>
  <si>
    <t>Setup</t>
  </si>
  <si>
    <t>Company name, year and the month you are reporting on. Change the month here and every sheet moves with it.</t>
  </si>
  <si>
    <t>Company name</t>
  </si>
  <si>
    <t>Example Retail Co</t>
  </si>
  <si>
    <t>Year</t>
  </si>
  <si>
    <t>Reporting month</t>
  </si>
  <si>
    <t>Month number</t>
  </si>
  <si>
    <t>Period end date</t>
  </si>
  <si>
    <t>Departments</t>
  </si>
  <si>
    <t>Head of department</t>
  </si>
  <si>
    <t>Objectives</t>
  </si>
  <si>
    <t>Sales and e-commerce</t>
  </si>
  <si>
    <t>Chief Commercial Officer</t>
  </si>
  <si>
    <t>Marketing and service</t>
  </si>
  <si>
    <t>Head of Marketing</t>
  </si>
  <si>
    <t>Supply chain</t>
  </si>
  <si>
    <t>Head of Supply Chain</t>
  </si>
  <si>
    <t>CFO</t>
  </si>
  <si>
    <t>People (HR)</t>
  </si>
  <si>
    <t>HR Director</t>
  </si>
  <si>
    <t>IT</t>
  </si>
  <si>
    <t>Head of IT</t>
  </si>
  <si>
    <t>Risk and compliance</t>
  </si>
  <si>
    <t>Chief Risk Officer</t>
  </si>
  <si>
    <t>1. Company strategy</t>
  </si>
  <si>
    <t>The few things the company is really trying to achieve. The right-hand columns roll up from every measure linked to each objective.</t>
  </si>
  <si>
    <t>Where we want to be in 3 years:</t>
  </si>
  <si>
    <t>Grow profitably, with customers who keep coming back, and without a major control failure on the way.</t>
  </si>
  <si>
    <t>Pillar</t>
  </si>
  <si>
    <t>Company objective</t>
  </si>
  <si>
    <t>3-year target</t>
  </si>
  <si>
    <t>Sponsor</t>
  </si>
  <si>
    <t>C1</t>
  </si>
  <si>
    <t>Growth</t>
  </si>
  <si>
    <t>Grow revenue by 15% a year</t>
  </si>
  <si>
    <t>Revenue up from 400m to 610m by end of 2028</t>
  </si>
  <si>
    <t>CEO</t>
  </si>
  <si>
    <t>C2</t>
  </si>
  <si>
    <t>Customer</t>
  </si>
  <si>
    <t>Customers come back more often</t>
  </si>
  <si>
    <t>Repeat customer rate 45% and NPS 50</t>
  </si>
  <si>
    <t>C3</t>
  </si>
  <si>
    <t>Efficiency</t>
  </si>
  <si>
    <t>Make more profit from every sale</t>
  </si>
  <si>
    <t>Net margin up from 5% to 8%</t>
  </si>
  <si>
    <t>C4</t>
  </si>
  <si>
    <t>People</t>
  </si>
  <si>
    <t>Keep good people</t>
  </si>
  <si>
    <t>Staff turnover below 18%</t>
  </si>
  <si>
    <t>C5</t>
  </si>
  <si>
    <t>Control</t>
  </si>
  <si>
    <t>Grow without a major compliance or cyber incident</t>
  </si>
  <si>
    <t>No reportable breach, audit actions closed on time</t>
  </si>
  <si>
    <t>Audit Committee</t>
  </si>
  <si>
    <t>2. Cascade to departments</t>
  </si>
  <si>
    <t>Each company objective split into department objectives, one owner each. Counts and health fill in by themselves.</t>
  </si>
  <si>
    <t>Company objective ID</t>
  </si>
  <si>
    <t>Department objective</t>
  </si>
  <si>
    <t>Check</t>
  </si>
  <si>
    <t>(helper)</t>
  </si>
  <si>
    <t>D1</t>
  </si>
  <si>
    <t>Grow online to 25% of sales by 2028</t>
  </si>
  <si>
    <t>Head of E-commerce</t>
  </si>
  <si>
    <t>D2</t>
  </si>
  <si>
    <t>Keep store sales growing</t>
  </si>
  <si>
    <t>Head of Retail</t>
  </si>
  <si>
    <t>D3</t>
  </si>
  <si>
    <t>More customers buy again within 90 days</t>
  </si>
  <si>
    <t>D4</t>
  </si>
  <si>
    <t>Solve customer problems the first time</t>
  </si>
  <si>
    <t>Head of Customer Service</t>
  </si>
  <si>
    <t>D5</t>
  </si>
  <si>
    <t>Right stock on the shelf with less cash tied up</t>
  </si>
  <si>
    <t>D6</t>
  </si>
  <si>
    <t>Protect gross margin and cash</t>
  </si>
  <si>
    <t>D7</t>
  </si>
  <si>
    <t>Hire well and keep staff longer</t>
  </si>
  <si>
    <t>D8</t>
  </si>
  <si>
    <t>Keep systems and customer data safe</t>
  </si>
  <si>
    <t>D9</t>
  </si>
  <si>
    <t>Close control gaps on time</t>
  </si>
  <si>
    <t>3. Measures register (KPIs and KRIs)</t>
  </si>
  <si>
    <t>One row per measure. Pick the department objective and the department and company objective fill in. Add new measures at the bottom, do not sort this sheet.</t>
  </si>
  <si>
    <t>How it is calculated</t>
  </si>
  <si>
    <t>Lead or lag</t>
  </si>
  <si>
    <t>Unit</t>
  </si>
  <si>
    <t>Green limit (target / appetite)</t>
  </si>
  <si>
    <t>Amber limit (lowest acceptable / tolerance)</t>
  </si>
  <si>
    <t>How often</t>
  </si>
  <si>
    <t>Data source</t>
  </si>
  <si>
    <t>Escalate to (KRIs)</t>
  </si>
  <si>
    <t>Action when red (KRIs)</t>
  </si>
  <si>
    <t>K01</t>
  </si>
  <si>
    <t>KPI</t>
  </si>
  <si>
    <t>Online share of sales</t>
  </si>
  <si>
    <t>Online sales / total sales for the month</t>
  </si>
  <si>
    <t>Lagging</t>
  </si>
  <si>
    <t>%</t>
  </si>
  <si>
    <t>Higher</t>
  </si>
  <si>
    <t>Monthly</t>
  </si>
  <si>
    <t>Sales system</t>
  </si>
  <si>
    <t>K02</t>
  </si>
  <si>
    <t>Online conversion rate</t>
  </si>
  <si>
    <t>Orders / website visits</t>
  </si>
  <si>
    <t>Leading</t>
  </si>
  <si>
    <t>Weekly</t>
  </si>
  <si>
    <t>Web analytics</t>
  </si>
  <si>
    <t>R11</t>
  </si>
  <si>
    <t>KRI</t>
  </si>
  <si>
    <t>Online refund rate</t>
  </si>
  <si>
    <t>Refunds / online orders</t>
  </si>
  <si>
    <t>Lower</t>
  </si>
  <si>
    <t>Order system</t>
  </si>
  <si>
    <t>Check top refund reasons, fix product pages or courier</t>
  </si>
  <si>
    <t>K03</t>
  </si>
  <si>
    <t>Like-for-like store sales growth</t>
  </si>
  <si>
    <t>Sales of stores open 12+ months vs same month last year</t>
  </si>
  <si>
    <t>K04</t>
  </si>
  <si>
    <t>Average basket value</t>
  </si>
  <si>
    <t>Store sales / number of receipts</t>
  </si>
  <si>
    <t>Amount</t>
  </si>
  <si>
    <t>POS system</t>
  </si>
  <si>
    <t>K05</t>
  </si>
  <si>
    <t>Repeat customer rate</t>
  </si>
  <si>
    <t>Customers who bought again within 90 days / all customers</t>
  </si>
  <si>
    <t>Loyalty / CRM</t>
  </si>
  <si>
    <t>K06</t>
  </si>
  <si>
    <t>Net Promoter Score</t>
  </si>
  <si>
    <t>% promoters minus % detractors from the monthly survey</t>
  </si>
  <si>
    <t>Survey tool</t>
  </si>
  <si>
    <t>K07</t>
  </si>
  <si>
    <t>First-contact resolution</t>
  </si>
  <si>
    <t>Cases solved in the first contact / all cases</t>
  </si>
  <si>
    <t>Helpdesk system</t>
  </si>
  <si>
    <t>K08</t>
  </si>
  <si>
    <t>Shelf availability</t>
  </si>
  <si>
    <t>Items in stock at store check / items that should be in stock</t>
  </si>
  <si>
    <t>Store audit app</t>
  </si>
  <si>
    <t>K09</t>
  </si>
  <si>
    <t>Inventory days</t>
  </si>
  <si>
    <t>Closing stock value / average daily cost of sales</t>
  </si>
  <si>
    <t>Days</t>
  </si>
  <si>
    <t>ERP</t>
  </si>
  <si>
    <t>R03</t>
  </si>
  <si>
    <t>Share of purchases from top supplier</t>
  </si>
  <si>
    <t>Purchases from largest supplier / total purchases</t>
  </si>
  <si>
    <t>Quarterly</t>
  </si>
  <si>
    <t>ERP purchase report</t>
  </si>
  <si>
    <t>Head of Procurement</t>
  </si>
  <si>
    <t>Approve and onboard a second supplier</t>
  </si>
  <si>
    <t>R04</t>
  </si>
  <si>
    <t>Stock write-offs as % of sales</t>
  </si>
  <si>
    <t>Damaged, expired and lost stock written off / sales</t>
  </si>
  <si>
    <t>Root cause review by store, tighten date checks</t>
  </si>
  <si>
    <t>K10</t>
  </si>
  <si>
    <t>Gross margin</t>
  </si>
  <si>
    <t>(Sales - cost of sales) / sales</t>
  </si>
  <si>
    <t>Management accounts</t>
  </si>
  <si>
    <t>K11</t>
  </si>
  <si>
    <t>Operating cost as % of sales</t>
  </si>
  <si>
    <t>Operating costs excluding cost of sales / sales</t>
  </si>
  <si>
    <t>R01</t>
  </si>
  <si>
    <t>Receivables over 90 days</t>
  </si>
  <si>
    <t>Receivables over 90 days / total receivables</t>
  </si>
  <si>
    <t>ERP aging report</t>
  </si>
  <si>
    <t>Credit Manager</t>
  </si>
  <si>
    <t>Stop credit to top overdue accounts, weekly collection review</t>
  </si>
  <si>
    <t>R02</t>
  </si>
  <si>
    <t>Months of cash cover</t>
  </si>
  <si>
    <t>Cash and unused facilities / average monthly fixed costs</t>
  </si>
  <si>
    <t>Months</t>
  </si>
  <si>
    <t>Treasury</t>
  </si>
  <si>
    <t>CEO and Board</t>
  </si>
  <si>
    <t>Freeze non-critical spend, review funding options</t>
  </si>
  <si>
    <t>K12</t>
  </si>
  <si>
    <t>Staff turnover (rolling 12 months)</t>
  </si>
  <si>
    <t>Leavers in last 12 months / average headcount</t>
  </si>
  <si>
    <t>HR system</t>
  </si>
  <si>
    <t>K13</t>
  </si>
  <si>
    <t>Time to hire</t>
  </si>
  <si>
    <t>Days from job approved to offer accepted, average</t>
  </si>
  <si>
    <t>R05</t>
  </si>
  <si>
    <t>Key roles vacant over 60 days</t>
  </si>
  <si>
    <t>Count of named key roles empty for 60+ days</t>
  </si>
  <si>
    <t>Number</t>
  </si>
  <si>
    <t>Interim cover plan, use a search firm</t>
  </si>
  <si>
    <t>R06</t>
  </si>
  <si>
    <t>Critical security patches overdue</t>
  </si>
  <si>
    <t>Critical patches not applied within 14 days of release</t>
  </si>
  <si>
    <t>Patch management tool</t>
  </si>
  <si>
    <t>Emergency patch window within 72 hours</t>
  </si>
  <si>
    <t>R07</t>
  </si>
  <si>
    <t>Phishing test click rate</t>
  </si>
  <si>
    <t>Staff who clicked the test link / staff tested</t>
  </si>
  <si>
    <t>Security awareness tool</t>
  </si>
  <si>
    <t>Repeat training for clickers, retest in 30 days</t>
  </si>
  <si>
    <t>R08</t>
  </si>
  <si>
    <t>Unplanned system downtime (hours)</t>
  </si>
  <si>
    <t>Hours core systems were down outside planned windows</t>
  </si>
  <si>
    <t>IT service desk</t>
  </si>
  <si>
    <t>Incident review, fix the root cause</t>
  </si>
  <si>
    <t>R09</t>
  </si>
  <si>
    <t>Audit actions past due date</t>
  </si>
  <si>
    <t>Agreed audit actions not closed by the due date</t>
  </si>
  <si>
    <t>Audit action tracker</t>
  </si>
  <si>
    <t>Owners present to Audit Committee with new dates</t>
  </si>
  <si>
    <t>R10</t>
  </si>
  <si>
    <t>Customer complaints to the regulator</t>
  </si>
  <si>
    <t>Complaints customers escalated to a regulator</t>
  </si>
  <si>
    <t>Compliance log</t>
  </si>
  <si>
    <t>Review each case, fix the process that caused it</t>
  </si>
  <si>
    <t>4. Monthly tracker</t>
  </si>
  <si>
    <t>Rows follow the Measures sheet by themselves. Each month, type the actual result in the month column (yellow). Status is for the reporting month on the Setup sheet.</t>
  </si>
  <si>
    <t>Dept objective</t>
  </si>
  <si>
    <t>(sort)</t>
  </si>
  <si>
    <t>(rank)</t>
  </si>
  <si>
    <t>(dept)</t>
  </si>
  <si>
    <t>Loyalty offer relaunched in July. Moving the right way, still below 35%.</t>
  </si>
  <si>
    <t>Most write-offs in 6 stores. Date checks being retrained in October.</t>
  </si>
  <si>
    <t>Two large accounts behind. Credit stopped 4 Sep. CFO reviewing weekly.</t>
  </si>
  <si>
    <t>Exit interviews point to store manager rota. Fix agreed, starts November.</t>
  </si>
  <si>
    <t>Owners to present new dates at the October Audit Committee.</t>
  </si>
  <si>
    <t>Two of the four cases are about refunds. Linked to R11.</t>
  </si>
  <si>
    <t>6. Action log</t>
  </si>
  <si>
    <t>Every action agreed in a review, linked to the measure it is meant to fix. Days overdue are counted to the period end on the Setup sheet.</t>
  </si>
  <si>
    <t>No.</t>
  </si>
  <si>
    <t>Measure ID</t>
  </si>
  <si>
    <t>Action agreed</t>
  </si>
  <si>
    <t>Raised on</t>
  </si>
  <si>
    <t>Due date</t>
  </si>
  <si>
    <t>Closed on</t>
  </si>
  <si>
    <t>Days overdue</t>
  </si>
  <si>
    <t>Flag</t>
  </si>
  <si>
    <t>Stop new credit to the 10 most overdue accounts</t>
  </si>
  <si>
    <t>Done</t>
  </si>
  <si>
    <t>Weekly collections call with CFO until under 8%</t>
  </si>
  <si>
    <t>Open</t>
  </si>
  <si>
    <t>Each owner to agree new dates for overdue audit actions</t>
  </si>
  <si>
    <t>Retrain date checks in the 6 worst stores</t>
  </si>
  <si>
    <t>Review refund process with customer service</t>
  </si>
  <si>
    <t>Relaunch loyalty offer</t>
  </si>
  <si>
    <t>Fix store manager rota</t>
  </si>
  <si>
    <t>Find top 5 refund reasons and fix product pages</t>
  </si>
  <si>
    <t>Heatmap: every measure, every month</t>
  </si>
  <si>
    <t>G = green, A = amber, R = red. Use the filter on Department or Type. The reporting month is marked in gold.</t>
  </si>
  <si>
    <t>Months red</t>
  </si>
  <si>
    <t>Months green</t>
  </si>
  <si>
    <t>7. Review log</t>
  </si>
  <si>
    <t>Every change to a target, limit or definition. Shows the change was thought through and approved, not quietly moved.</t>
  </si>
  <si>
    <t>Date</t>
  </si>
  <si>
    <t>What changed</t>
  </si>
  <si>
    <t>Old value</t>
  </si>
  <si>
    <t>New value</t>
  </si>
  <si>
    <t>Why</t>
  </si>
  <si>
    <t>Approved by</t>
  </si>
  <si>
    <t>Target (green)</t>
  </si>
  <si>
    <t>Q1 ran ahead of plan after two store refits. Board agreed to raise the bar.</t>
  </si>
  <si>
    <t>Amber limit (tolerance)</t>
  </si>
  <si>
    <t>Risk appetite tightened after a phishing incident at a peer company.</t>
  </si>
  <si>
    <t>Working sheet</t>
  </si>
  <si>
    <t>Status for every measure in every month (G, A, R). Used by the heatmap and charts. Nothing to type here.</t>
  </si>
  <si>
    <t>Lists</t>
  </si>
  <si>
    <t>Drop down choices used across the file. Add to the end of a list if you need more.</t>
  </si>
  <si>
    <t>Action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</si>
</sst>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dd\-mmm\-yyyy"/>
    <numFmt numFmtId="167" formatCode="dd\-mmm\-yy"/>
  </numFmts>
  <fonts count="27" x14ac:knownFonts="1">
    <font>
      <sz val="11"/>
      <color theme="1"/>
      <name val="Calibri"/>
      <family val="2"/>
      <charset val="1"/>
    </font>
    <font>
      <b/>
      <sz val="16"/>
      <color rgb="FF1F2A24"/>
      <name val="Arial"/>
      <charset val="1"/>
    </font>
    <font>
      <i/>
      <sz val="10"/>
      <color rgb="FF5B6B62"/>
      <name val="Arial"/>
      <charset val="1"/>
    </font>
    <font>
      <b/>
      <sz val="12"/>
      <color rgb="FF1F2A24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sz val="10"/>
      <color rgb="FF5B6B62"/>
      <name val="Arial"/>
      <charset val="1"/>
    </font>
    <font>
      <b/>
      <sz val="18"/>
      <color rgb="FF1F2A24"/>
      <name val="Arial"/>
      <charset val="1"/>
    </font>
    <font>
      <b/>
      <sz val="9"/>
      <color rgb="FF5B6B62"/>
      <name val="Arial"/>
      <charset val="1"/>
    </font>
    <font>
      <b/>
      <sz val="22"/>
      <color rgb="FF1F2A24"/>
      <name val="Arial"/>
      <charset val="1"/>
    </font>
    <font>
      <b/>
      <sz val="22"/>
      <color rgb="FF1B6B34"/>
      <name val="Arial"/>
      <charset val="1"/>
    </font>
    <font>
      <b/>
      <sz val="22"/>
      <color rgb="FF8A5A00"/>
      <name val="Arial"/>
      <charset val="1"/>
    </font>
    <font>
      <b/>
      <sz val="22"/>
      <color rgb="FF9C1C10"/>
      <name val="Arial"/>
      <charset val="1"/>
    </font>
    <font>
      <b/>
      <sz val="10"/>
      <color rgb="FFFFFFFF"/>
      <name val="Arial"/>
      <charset val="1"/>
    </font>
    <font>
      <sz val="7"/>
      <color rgb="FFFFFFFF"/>
      <name val="Arial"/>
      <charset val="1"/>
    </font>
    <font>
      <b/>
      <sz val="10"/>
      <name val="Arial"/>
      <charset val="1"/>
    </font>
    <font>
      <b/>
      <sz val="12"/>
      <color rgb="FF0000FF"/>
      <name val="Arial"/>
      <charset val="1"/>
    </font>
    <font>
      <b/>
      <sz val="10"/>
      <color rgb="FF5B6B62"/>
      <name val="Arial"/>
      <charset val="1"/>
    </font>
    <font>
      <b/>
      <sz val="18"/>
      <color rgb="FF1B6B34"/>
      <name val="Arial"/>
      <charset val="1"/>
    </font>
    <font>
      <b/>
      <sz val="18"/>
      <color rgb="FF8A5A00"/>
      <name val="Arial"/>
      <charset val="1"/>
    </font>
    <font>
      <b/>
      <sz val="18"/>
      <color rgb="FF9C1C10"/>
      <name val="Arial"/>
      <charset val="1"/>
    </font>
    <font>
      <b/>
      <sz val="9"/>
      <color rgb="FFFFFFFF"/>
      <name val="Arial"/>
      <charset val="1"/>
    </font>
    <font>
      <sz val="8"/>
      <color rgb="FFB5BEB8"/>
      <name val="Arial"/>
      <charset val="1"/>
    </font>
    <font>
      <sz val="10"/>
      <color rgb="FFB5BEB8"/>
      <name val="Arial"/>
      <charset val="1"/>
    </font>
    <font>
      <sz val="10"/>
      <color rgb="FF9AA59E"/>
      <name val="Arial"/>
      <charset val="1"/>
    </font>
    <font>
      <b/>
      <sz val="10"/>
      <color rgb="FF1F3B2F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EEF3EF"/>
        <bgColor rgb="FFF4F7F5"/>
      </patternFill>
    </fill>
    <fill>
      <patternFill patternType="solid">
        <fgColor rgb="FFCDEBD5"/>
        <bgColor rgb="FFE6E9E7"/>
      </patternFill>
    </fill>
    <fill>
      <patternFill patternType="solid">
        <fgColor rgb="FFFBE6BC"/>
        <bgColor rgb="FFFFF8DC"/>
      </patternFill>
    </fill>
    <fill>
      <patternFill patternType="solid">
        <fgColor rgb="FFF6CFCA"/>
        <bgColor rgb="FFD9D9D9"/>
      </patternFill>
    </fill>
    <fill>
      <patternFill patternType="solid">
        <fgColor rgb="FFFFF8DC"/>
        <bgColor rgb="FFF4F7F5"/>
      </patternFill>
    </fill>
    <fill>
      <patternFill patternType="solid">
        <fgColor rgb="FFF4F7F5"/>
        <bgColor rgb="FFEEF3EF"/>
      </patternFill>
    </fill>
    <fill>
      <patternFill patternType="solid">
        <fgColor rgb="FF1F3B2F"/>
        <bgColor rgb="FF1F2A24"/>
      </patternFill>
    </fill>
  </fills>
  <borders count="4">
    <border>
      <left/>
      <right/>
      <top/>
      <bottom/>
      <diagonal/>
    </border>
    <border>
      <left style="thin">
        <color rgb="FFCCD5CF"/>
      </left>
      <right style="thin">
        <color rgb="FFCCD5CF"/>
      </right>
      <top style="thin">
        <color rgb="FFCCD5CF"/>
      </top>
      <bottom style="thin">
        <color rgb="FFCCD5CF"/>
      </bottom>
      <diagonal/>
    </border>
    <border>
      <left style="thin">
        <color rgb="FFCCD5CF"/>
      </left>
      <right/>
      <top style="thin">
        <color rgb="FFCCD5CF"/>
      </top>
      <bottom style="thin">
        <color rgb="FFCCD5CF"/>
      </bottom>
      <diagonal/>
    </border>
    <border>
      <left/>
      <right style="thin">
        <color rgb="FFCCD5CF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6" borderId="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7" fillId="6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4" fillId="8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14" fillId="8" borderId="2" xfId="0" applyFont="1" applyFill="1" applyBorder="1"/>
    <xf numFmtId="1" fontId="13" fillId="7" borderId="0" xfId="0" applyNumberFormat="1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9" fillId="7" borderId="0" xfId="0" applyFont="1" applyFill="1" applyAlignment="1">
      <alignment horizont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8" fillId="0" borderId="0" xfId="0" applyFont="1"/>
    <xf numFmtId="0" fontId="9" fillId="7" borderId="0" xfId="0" applyFont="1" applyFill="1" applyAlignment="1">
      <alignment horizontal="center" wrapText="1"/>
    </xf>
    <xf numFmtId="1" fontId="10" fillId="7" borderId="0" xfId="0" applyNumberFormat="1" applyFont="1" applyFill="1" applyAlignment="1">
      <alignment horizontal="center" vertical="center"/>
    </xf>
    <xf numFmtId="9" fontId="11" fillId="7" borderId="0" xfId="0" applyNumberFormat="1" applyFont="1" applyFill="1" applyAlignment="1">
      <alignment horizontal="center" vertical="center"/>
    </xf>
    <xf numFmtId="1" fontId="11" fillId="7" borderId="0" xfId="0" applyNumberFormat="1" applyFont="1" applyFill="1" applyAlignment="1">
      <alignment horizontal="center" vertical="center"/>
    </xf>
    <xf numFmtId="1" fontId="12" fillId="7" borderId="0" xfId="0" applyNumberFormat="1" applyFont="1" applyFill="1" applyAlignment="1">
      <alignment horizontal="center" vertical="center"/>
    </xf>
    <xf numFmtId="1" fontId="13" fillId="7" borderId="0" xfId="0" applyNumberFormat="1" applyFont="1" applyFill="1" applyAlignment="1">
      <alignment horizontal="center" vertical="center"/>
    </xf>
    <xf numFmtId="0" fontId="14" fillId="8" borderId="1" xfId="0" applyFont="1" applyFill="1" applyBorder="1"/>
    <xf numFmtId="0" fontId="4" fillId="0" borderId="1" xfId="0" applyFont="1" applyBorder="1" applyAlignment="1">
      <alignment vertical="top" wrapText="1"/>
    </xf>
    <xf numFmtId="1" fontId="5" fillId="0" borderId="1" xfId="0" applyNumberFormat="1" applyFont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4" fillId="8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1" fontId="4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0" fontId="16" fillId="0" borderId="0" xfId="0" applyFont="1"/>
    <xf numFmtId="0" fontId="18" fillId="0" borderId="0" xfId="0" applyFont="1"/>
    <xf numFmtId="1" fontId="8" fillId="7" borderId="0" xfId="0" applyNumberFormat="1" applyFont="1" applyFill="1" applyAlignment="1">
      <alignment horizontal="center"/>
    </xf>
    <xf numFmtId="1" fontId="19" fillId="7" borderId="0" xfId="0" applyNumberFormat="1" applyFont="1" applyFill="1" applyAlignment="1">
      <alignment horizontal="center"/>
    </xf>
    <xf numFmtId="1" fontId="20" fillId="7" borderId="0" xfId="0" applyNumberFormat="1" applyFont="1" applyFill="1" applyAlignment="1">
      <alignment horizontal="center"/>
    </xf>
    <xf numFmtId="1" fontId="21" fillId="7" borderId="0" xfId="0" applyNumberFormat="1" applyFont="1" applyFill="1" applyAlignment="1">
      <alignment horizontal="center"/>
    </xf>
    <xf numFmtId="9" fontId="8" fillId="7" borderId="0" xfId="0" applyNumberFormat="1" applyFont="1" applyFill="1" applyAlignment="1">
      <alignment horizontal="center"/>
    </xf>
    <xf numFmtId="0" fontId="7" fillId="0" borderId="1" xfId="0" applyFont="1" applyBorder="1" applyAlignment="1">
      <alignment vertical="top" wrapText="1"/>
    </xf>
    <xf numFmtId="1" fontId="5" fillId="0" borderId="1" xfId="0" applyNumberFormat="1" applyFont="1" applyBorder="1" applyAlignment="1">
      <alignment vertical="top" wrapText="1"/>
    </xf>
    <xf numFmtId="9" fontId="4" fillId="0" borderId="1" xfId="0" applyNumberFormat="1" applyFont="1" applyBorder="1" applyAlignment="1">
      <alignment vertical="top" wrapText="1"/>
    </xf>
    <xf numFmtId="0" fontId="14" fillId="8" borderId="1" xfId="0" applyFont="1" applyFill="1" applyBorder="1" applyAlignment="1">
      <alignment wrapText="1"/>
    </xf>
    <xf numFmtId="0" fontId="22" fillId="8" borderId="1" xfId="0" applyFont="1" applyFill="1" applyBorder="1" applyAlignment="1">
      <alignment horizontal="center" wrapText="1"/>
    </xf>
    <xf numFmtId="0" fontId="23" fillId="0" borderId="0" xfId="0" applyFont="1"/>
    <xf numFmtId="164" fontId="4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1" fontId="6" fillId="6" borderId="1" xfId="0" applyNumberFormat="1" applyFont="1" applyFill="1" applyBorder="1" applyAlignment="1">
      <alignment vertical="top" wrapText="1"/>
    </xf>
    <xf numFmtId="1" fontId="4" fillId="0" borderId="1" xfId="0" applyNumberFormat="1" applyFont="1" applyBorder="1" applyAlignment="1">
      <alignment vertical="top" wrapText="1"/>
    </xf>
    <xf numFmtId="166" fontId="4" fillId="0" borderId="1" xfId="0" applyNumberFormat="1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164" fontId="6" fillId="6" borderId="1" xfId="0" applyNumberFormat="1" applyFont="1" applyFill="1" applyBorder="1" applyAlignment="1">
      <alignment vertical="top" wrapText="1"/>
    </xf>
    <xf numFmtId="3" fontId="6" fillId="6" borderId="1" xfId="0" applyNumberFormat="1" applyFont="1" applyFill="1" applyBorder="1" applyAlignment="1">
      <alignment vertical="top" wrapText="1"/>
    </xf>
    <xf numFmtId="165" fontId="6" fillId="6" borderId="1" xfId="0" applyNumberFormat="1" applyFont="1" applyFill="1" applyBorder="1" applyAlignment="1">
      <alignment vertical="top" wrapText="1"/>
    </xf>
    <xf numFmtId="0" fontId="26" fillId="0" borderId="0" xfId="0" applyFont="1"/>
    <xf numFmtId="3" fontId="5" fillId="0" borderId="1" xfId="0" applyNumberFormat="1" applyFont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167" fontId="6" fillId="6" borderId="1" xfId="0" applyNumberFormat="1" applyFont="1" applyFill="1" applyBorder="1" applyAlignment="1">
      <alignment vertical="top" wrapText="1"/>
    </xf>
    <xf numFmtId="0" fontId="14" fillId="8" borderId="0" xfId="0" applyFont="1" applyFill="1"/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wrapText="1"/>
    </xf>
  </cellXfs>
  <cellStyles count="1">
    <cellStyle name="Normal" xfId="0" builtinId="0"/>
  </cellStyles>
  <dxfs count="74"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color rgb="FF5B6B62"/>
        <name val="Arial"/>
        <charset val="1"/>
      </font>
      <fill>
        <patternFill>
          <bgColor rgb="FFE6E9E7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ill>
        <patternFill>
          <bgColor rgb="FFE2A93B"/>
        </patternFill>
      </fill>
    </dxf>
    <dxf>
      <font>
        <b/>
        <color rgb="FF5B6B62"/>
        <name val="Arial"/>
        <charset val="1"/>
      </font>
      <fill>
        <patternFill>
          <bgColor rgb="FFE6E9E7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color rgb="FF1B6B34"/>
        <name val="Arial"/>
        <charset val="1"/>
      </font>
    </dxf>
    <dxf>
      <font>
        <b/>
        <color rgb="FF9C1C10"/>
        <name val="Arial"/>
        <charset val="1"/>
      </font>
    </dxf>
    <dxf>
      <font>
        <color rgb="FF5B6B62"/>
        <name val="Arial"/>
        <charset val="1"/>
      </font>
      <fill>
        <patternFill>
          <bgColor rgb="FFE6E9E7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numFmt numFmtId="3" formatCode="#,##0"/>
    </dxf>
    <dxf>
      <numFmt numFmtId="165" formatCode="0.0"/>
    </dxf>
    <dxf>
      <numFmt numFmtId="164" formatCode="0.0%"/>
    </dxf>
    <dxf>
      <border diagonalUp="0" diagonalDown="0">
        <left style="medium">
          <color rgb="FF1F3B2F"/>
        </left>
        <right style="medium">
          <color rgb="FF1F3B2F"/>
        </right>
        <top/>
        <bottom/>
      </border>
    </dxf>
    <dxf>
      <fill>
        <patternFill>
          <bgColor rgb="FFE2A93B"/>
        </patternFill>
      </fill>
    </dxf>
    <dxf>
      <numFmt numFmtId="3" formatCode="#,##0"/>
    </dxf>
    <dxf>
      <numFmt numFmtId="165" formatCode="0.0"/>
    </dxf>
    <dxf>
      <numFmt numFmtId="164" formatCode="0.0%"/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numFmt numFmtId="3" formatCode="#,##0"/>
    </dxf>
    <dxf>
      <numFmt numFmtId="165" formatCode="0.0"/>
    </dxf>
    <dxf>
      <numFmt numFmtId="164" formatCode="0.0%"/>
    </dxf>
    <dxf>
      <font>
        <b/>
        <color rgb="FF7A3E9D"/>
        <name val="Arial"/>
        <charset val="1"/>
      </font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ill>
        <patternFill>
          <bgColor rgb="FFE2A93B"/>
        </patternFill>
      </fill>
    </dxf>
    <dxf>
      <font>
        <color rgb="FF1B6B34"/>
        <name val="Arial"/>
        <charset val="1"/>
      </font>
    </dxf>
    <dxf>
      <font>
        <b/>
        <color rgb="FF9C1C10"/>
        <name val="Arial"/>
        <charset val="1"/>
      </font>
    </dxf>
    <dxf>
      <font>
        <color rgb="FF5B6B62"/>
        <name val="Arial"/>
        <charset val="1"/>
      </font>
      <fill>
        <patternFill>
          <bgColor rgb="FFE6E9E7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numFmt numFmtId="3" formatCode="#,##0"/>
    </dxf>
    <dxf>
      <numFmt numFmtId="165" formatCode="0.0"/>
    </dxf>
    <dxf>
      <numFmt numFmtId="164" formatCode="0.0%"/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color rgb="FF1B6B34"/>
        <name val="Arial"/>
        <charset val="1"/>
      </font>
    </dxf>
    <dxf>
      <font>
        <b/>
        <color rgb="FF9C1C10"/>
        <name val="Arial"/>
        <charset val="1"/>
      </font>
    </dxf>
    <dxf>
      <font>
        <color rgb="FF5B6B62"/>
        <name val="Arial"/>
        <charset val="1"/>
      </font>
      <fill>
        <patternFill>
          <bgColor rgb="FFE6E9E7"/>
        </patternFill>
      </fill>
    </dxf>
    <dxf>
      <font>
        <b/>
        <color rgb="FF9C1C10"/>
        <name val="Arial"/>
        <charset val="1"/>
      </font>
      <fill>
        <patternFill>
          <bgColor rgb="FFF6CFCA"/>
        </patternFill>
      </fill>
    </dxf>
    <dxf>
      <font>
        <b/>
        <color rgb="FF8A5A00"/>
        <name val="Arial"/>
        <charset val="1"/>
      </font>
      <fill>
        <patternFill>
          <bgColor rgb="FFFBE6BC"/>
        </patternFill>
      </fill>
    </dxf>
    <dxf>
      <font>
        <b/>
        <color rgb="FF1B6B34"/>
        <name val="Arial"/>
        <charset val="1"/>
      </font>
      <fill>
        <patternFill>
          <bgColor rgb="FFCDEBD5"/>
        </patternFill>
      </fill>
    </dxf>
    <dxf>
      <font>
        <b/>
        <color rgb="FF9C1C10"/>
        <name val="Arial"/>
        <charset val="1"/>
      </font>
    </dxf>
    <dxf>
      <numFmt numFmtId="3" formatCode="#,##0"/>
    </dxf>
    <dxf>
      <numFmt numFmtId="165" formatCode="0.0"/>
    </dxf>
    <dxf>
      <numFmt numFmtId="164" formatCode="0.0%"/>
    </dxf>
    <dxf>
      <fill>
        <patternFill>
          <bgColor rgb="FFFBE6B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6B34"/>
      <rgbColor rgb="FF000080"/>
      <rgbColor rgb="FF8A5A00"/>
      <rgbColor rgb="FF800080"/>
      <rgbColor rgb="FF008080"/>
      <rgbColor rgb="FFB5BEB8"/>
      <rgbColor rgb="FF878787"/>
      <rgbColor rgb="FF9999FF"/>
      <rgbColor rgb="FF7A3E9D"/>
      <rgbColor rgb="FFFFF8DC"/>
      <rgbColor rgb="FFEEF3EF"/>
      <rgbColor rgb="FF660066"/>
      <rgbColor rgb="FFFF8080"/>
      <rgbColor rgb="FF0066CC"/>
      <rgbColor rgb="FFCCD5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5"/>
      <rgbColor rgb="FFCDEBD5"/>
      <rgbColor rgb="FFFBE6BC"/>
      <rgbColor rgb="FFC9D3CC"/>
      <rgbColor rgb="FFE6E9E7"/>
      <rgbColor rgb="FFD9D9D9"/>
      <rgbColor rgb="FFF6CFCA"/>
      <rgbColor rgb="FF3366FF"/>
      <rgbColor rgb="FF33CCCC"/>
      <rgbColor rgb="FF99CC00"/>
      <rgbColor rgb="FFFFCC00"/>
      <rgbColor rgb="FFE2A93B"/>
      <rgbColor rgb="FFFF6600"/>
      <rgbColor rgb="FF5B6B62"/>
      <rgbColor rgb="FF9AA59E"/>
      <rgbColor rgb="FF003366"/>
      <rgbColor rgb="FF3E9B5A"/>
      <rgbColor rgb="FF003300"/>
      <rgbColor rgb="FF1F2A24"/>
      <rgbColor rgb="FF9C1C10"/>
      <rgbColor rgb="FFC8473A"/>
      <rgbColor rgb="FF333399"/>
      <rgbColor rgb="FF1F3B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Status by department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Dashboard!$G$19</c:f>
              <c:strCache>
                <c:ptCount val="1"/>
                <c:pt idx="0">
                  <c:v>Green</c:v>
                </c:pt>
              </c:strCache>
            </c:strRef>
          </c:tx>
          <c:spPr>
            <a:solidFill>
              <a:srgbClr val="3E9B5A"/>
            </a:solidFill>
            <a:ln w="0">
              <a:solidFill>
                <a:srgbClr val="3E9B5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Dashboard!$B$20:$B$26</c:f>
              <c:strCache>
                <c:ptCount val="7"/>
                <c:pt idx="0">
                  <c:v>Sales and e-commerce</c:v>
                </c:pt>
                <c:pt idx="1">
                  <c:v>Marketing and service</c:v>
                </c:pt>
                <c:pt idx="2">
                  <c:v>Supply chain</c:v>
                </c:pt>
                <c:pt idx="3">
                  <c:v>Finance</c:v>
                </c:pt>
                <c:pt idx="4">
                  <c:v>People (HR)</c:v>
                </c:pt>
                <c:pt idx="5">
                  <c:v>IT</c:v>
                </c:pt>
                <c:pt idx="6">
                  <c:v>Risk and compliance</c:v>
                </c:pt>
              </c:strCache>
            </c:strRef>
          </c:cat>
          <c:val>
            <c:numRef>
              <c:f>Dashboard!$G$20:$G$26</c:f>
              <c:numCache>
                <c:formatCode>0</c:formatCode>
                <c:ptCount val="7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D7-4551-A680-4AEC42FD0E57}"/>
            </c:ext>
          </c:extLst>
        </c:ser>
        <c:ser>
          <c:idx val="1"/>
          <c:order val="1"/>
          <c:tx>
            <c:strRef>
              <c:f>Dashboard!$H$19</c:f>
              <c:strCache>
                <c:ptCount val="1"/>
                <c:pt idx="0">
                  <c:v>Amber</c:v>
                </c:pt>
              </c:strCache>
            </c:strRef>
          </c:tx>
          <c:spPr>
            <a:solidFill>
              <a:srgbClr val="E2A93B"/>
            </a:solidFill>
            <a:ln w="0">
              <a:solidFill>
                <a:srgbClr val="E2A93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Dashboard!$B$20:$B$26</c:f>
              <c:strCache>
                <c:ptCount val="7"/>
                <c:pt idx="0">
                  <c:v>Sales and e-commerce</c:v>
                </c:pt>
                <c:pt idx="1">
                  <c:v>Marketing and service</c:v>
                </c:pt>
                <c:pt idx="2">
                  <c:v>Supply chain</c:v>
                </c:pt>
                <c:pt idx="3">
                  <c:v>Finance</c:v>
                </c:pt>
                <c:pt idx="4">
                  <c:v>People (HR)</c:v>
                </c:pt>
                <c:pt idx="5">
                  <c:v>IT</c:v>
                </c:pt>
                <c:pt idx="6">
                  <c:v>Risk and compliance</c:v>
                </c:pt>
              </c:strCache>
            </c:strRef>
          </c:cat>
          <c:val>
            <c:numRef>
              <c:f>Dashboard!$H$20:$H$26</c:f>
              <c:numCache>
                <c:formatCode>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D7-4551-A680-4AEC42FD0E57}"/>
            </c:ext>
          </c:extLst>
        </c:ser>
        <c:ser>
          <c:idx val="2"/>
          <c:order val="2"/>
          <c:tx>
            <c:strRef>
              <c:f>Dashboard!$I$19</c:f>
              <c:strCache>
                <c:ptCount val="1"/>
                <c:pt idx="0">
                  <c:v>Red</c:v>
                </c:pt>
              </c:strCache>
            </c:strRef>
          </c:tx>
          <c:spPr>
            <a:solidFill>
              <a:srgbClr val="C8473A"/>
            </a:solidFill>
            <a:ln w="0">
              <a:solidFill>
                <a:srgbClr val="C8473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Dashboard!$B$20:$B$26</c:f>
              <c:strCache>
                <c:ptCount val="7"/>
                <c:pt idx="0">
                  <c:v>Sales and e-commerce</c:v>
                </c:pt>
                <c:pt idx="1">
                  <c:v>Marketing and service</c:v>
                </c:pt>
                <c:pt idx="2">
                  <c:v>Supply chain</c:v>
                </c:pt>
                <c:pt idx="3">
                  <c:v>Finance</c:v>
                </c:pt>
                <c:pt idx="4">
                  <c:v>People (HR)</c:v>
                </c:pt>
                <c:pt idx="5">
                  <c:v>IT</c:v>
                </c:pt>
                <c:pt idx="6">
                  <c:v>Risk and compliance</c:v>
                </c:pt>
              </c:strCache>
            </c:strRef>
          </c:cat>
          <c:val>
            <c:numRef>
              <c:f>Dashboard!$I$20:$I$26</c:f>
              <c:numCache>
                <c:formatCode>0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D7-4551-A680-4AEC42FD0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817102"/>
        <c:axId val="24339265"/>
      </c:barChart>
      <c:catAx>
        <c:axId val="9681710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4339265"/>
        <c:crosses val="autoZero"/>
        <c:auto val="1"/>
        <c:lblAlgn val="ctr"/>
        <c:lblOffset val="100"/>
        <c:noMultiLvlLbl val="0"/>
      </c:catAx>
      <c:valAx>
        <c:axId val="24339265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681710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% of measures on target,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Dashboard!$G$32</c:f>
              <c:strCache>
                <c:ptCount val="1"/>
                <c:pt idx="0">
                  <c:v>% on target</c:v>
                </c:pt>
              </c:strCache>
            </c:strRef>
          </c:tx>
          <c:spPr>
            <a:solidFill>
              <a:srgbClr val="3E9B5A"/>
            </a:solidFill>
            <a:ln w="0">
              <a:solidFill>
                <a:srgbClr val="3E9B5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Dashboard!$G$33:$G$44</c:f>
              <c:numCache>
                <c:formatCode>0%</c:formatCode>
                <c:ptCount val="12"/>
                <c:pt idx="0">
                  <c:v>0.20833333333333334</c:v>
                </c:pt>
                <c:pt idx="1">
                  <c:v>0.16666666666666666</c:v>
                </c:pt>
                <c:pt idx="2">
                  <c:v>0.20833333333333334</c:v>
                </c:pt>
                <c:pt idx="3">
                  <c:v>0.20833333333333334</c:v>
                </c:pt>
                <c:pt idx="4">
                  <c:v>0.16666666666666666</c:v>
                </c:pt>
                <c:pt idx="5">
                  <c:v>0.29166666666666669</c:v>
                </c:pt>
                <c:pt idx="6">
                  <c:v>0.25</c:v>
                </c:pt>
                <c:pt idx="7">
                  <c:v>0.25</c:v>
                </c:pt>
                <c:pt idx="8">
                  <c:v>0.41666666666666669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24-4CE7-B1CC-DA81FF289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47037"/>
        <c:axId val="10533643"/>
      </c:barChart>
      <c:catAx>
        <c:axId val="399470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533643"/>
        <c:crosses val="autoZero"/>
        <c:auto val="1"/>
        <c:lblAlgn val="ctr"/>
        <c:lblOffset val="100"/>
        <c:noMultiLvlLbl val="0"/>
      </c:catAx>
      <c:valAx>
        <c:axId val="10533643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994703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Red and amber count,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Dashboard!$E$32</c:f>
              <c:strCache>
                <c:ptCount val="1"/>
                <c:pt idx="0">
                  <c:v>Amber</c:v>
                </c:pt>
              </c:strCache>
            </c:strRef>
          </c:tx>
          <c:spPr>
            <a:solidFill>
              <a:srgbClr val="E2A93B"/>
            </a:solidFill>
            <a:ln w="0">
              <a:solidFill>
                <a:srgbClr val="E2A93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Dashboard!$E$33:$E$44</c:f>
              <c:numCache>
                <c:formatCode>0</c:formatCode>
                <c:ptCount val="12"/>
                <c:pt idx="0">
                  <c:v>6</c:v>
                </c:pt>
                <c:pt idx="1">
                  <c:v>9</c:v>
                </c:pt>
                <c:pt idx="2">
                  <c:v>11</c:v>
                </c:pt>
                <c:pt idx="3">
                  <c:v>12</c:v>
                </c:pt>
                <c:pt idx="4">
                  <c:v>17</c:v>
                </c:pt>
                <c:pt idx="5">
                  <c:v>14</c:v>
                </c:pt>
                <c:pt idx="6">
                  <c:v>15</c:v>
                </c:pt>
                <c:pt idx="7">
                  <c:v>13</c:v>
                </c:pt>
                <c:pt idx="8">
                  <c:v>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E-4E99-B8D8-A55236033FD6}"/>
            </c:ext>
          </c:extLst>
        </c:ser>
        <c:ser>
          <c:idx val="1"/>
          <c:order val="1"/>
          <c:tx>
            <c:strRef>
              <c:f>Dashboard!$F$32</c:f>
              <c:strCache>
                <c:ptCount val="1"/>
                <c:pt idx="0">
                  <c:v>Red</c:v>
                </c:pt>
              </c:strCache>
            </c:strRef>
          </c:tx>
          <c:spPr>
            <a:solidFill>
              <a:srgbClr val="C8473A"/>
            </a:solidFill>
            <a:ln w="0">
              <a:solidFill>
                <a:srgbClr val="C8473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Dashboard!$F$33:$F$44</c:f>
              <c:numCache>
                <c:formatCode>0</c:formatCode>
                <c:ptCount val="12"/>
                <c:pt idx="0">
                  <c:v>13</c:v>
                </c:pt>
                <c:pt idx="1">
                  <c:v>11</c:v>
                </c:pt>
                <c:pt idx="2">
                  <c:v>8</c:v>
                </c:pt>
                <c:pt idx="3">
                  <c:v>7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5</c:v>
                </c:pt>
                <c:pt idx="8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0E-4E99-B8D8-A55236033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918629"/>
        <c:axId val="78526090"/>
      </c:barChart>
      <c:catAx>
        <c:axId val="449186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8526090"/>
        <c:crosses val="autoZero"/>
        <c:auto val="1"/>
        <c:lblAlgn val="ctr"/>
        <c:lblOffset val="100"/>
        <c:noMultiLvlLbl val="0"/>
      </c:catAx>
      <c:valAx>
        <c:axId val="7852609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491862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157162</xdr:colOff>
      <xdr:row>5</xdr:row>
      <xdr:rowOff>58297</xdr:rowOff>
    </xdr:from>
    <xdr:to>
      <xdr:col>24</xdr:col>
      <xdr:colOff>413482</xdr:colOff>
      <xdr:row>19</xdr:row>
      <xdr:rowOff>255525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23</xdr:row>
      <xdr:rowOff>66960</xdr:rowOff>
    </xdr:from>
    <xdr:to>
      <xdr:col>24</xdr:col>
      <xdr:colOff>256320</xdr:colOff>
      <xdr:row>37</xdr:row>
      <xdr:rowOff>99360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0</xdr:colOff>
      <xdr:row>39</xdr:row>
      <xdr:rowOff>66600</xdr:rowOff>
    </xdr:from>
    <xdr:to>
      <xdr:col>24</xdr:col>
      <xdr:colOff>256320</xdr:colOff>
      <xdr:row>51</xdr:row>
      <xdr:rowOff>80280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2A93B"/>
  </sheetPr>
  <dimension ref="A1:C38"/>
  <sheetViews>
    <sheetView showGridLines="0" tabSelected="1" zoomScaleNormal="100" workbookViewId="0">
      <selection activeCell="C15" sqref="C15"/>
    </sheetView>
  </sheetViews>
  <sheetFormatPr defaultColWidth="8.6640625" defaultRowHeight="14.25" x14ac:dyDescent="0.45"/>
  <cols>
    <col min="1" max="1" width="3" customWidth="1"/>
    <col min="2" max="2" width="24" customWidth="1"/>
    <col min="3" max="3" width="92" customWidth="1"/>
  </cols>
  <sheetData>
    <row r="1" spans="1:3" ht="20.65" x14ac:dyDescent="0.6">
      <c r="A1" s="11" t="s">
        <v>0</v>
      </c>
    </row>
    <row r="2" spans="1:3" x14ac:dyDescent="0.45">
      <c r="A2" s="12" t="s">
        <v>1</v>
      </c>
    </row>
    <row r="4" spans="1:3" ht="15.4" x14ac:dyDescent="0.45">
      <c r="B4" s="13" t="s">
        <v>2</v>
      </c>
    </row>
    <row r="5" spans="1:3" x14ac:dyDescent="0.45">
      <c r="B5" s="14" t="s">
        <v>3</v>
      </c>
      <c r="C5" s="15" t="s">
        <v>4</v>
      </c>
    </row>
    <row r="6" spans="1:3" ht="25.5" x14ac:dyDescent="0.45">
      <c r="B6" s="14" t="s">
        <v>5</v>
      </c>
      <c r="C6" s="15" t="s">
        <v>6</v>
      </c>
    </row>
    <row r="7" spans="1:3" x14ac:dyDescent="0.45">
      <c r="B7" s="14" t="s">
        <v>7</v>
      </c>
      <c r="C7" s="15" t="s">
        <v>8</v>
      </c>
    </row>
    <row r="8" spans="1:3" x14ac:dyDescent="0.45">
      <c r="B8" s="14" t="s">
        <v>9</v>
      </c>
      <c r="C8" s="15" t="s">
        <v>10</v>
      </c>
    </row>
    <row r="9" spans="1:3" x14ac:dyDescent="0.45">
      <c r="B9" s="14" t="s">
        <v>11</v>
      </c>
      <c r="C9" s="15" t="s">
        <v>12</v>
      </c>
    </row>
    <row r="10" spans="1:3" x14ac:dyDescent="0.45">
      <c r="B10" s="14" t="s">
        <v>13</v>
      </c>
      <c r="C10" s="15" t="s">
        <v>14</v>
      </c>
    </row>
    <row r="11" spans="1:3" x14ac:dyDescent="0.45">
      <c r="B11" s="14" t="s">
        <v>15</v>
      </c>
      <c r="C11" s="15" t="s">
        <v>16</v>
      </c>
    </row>
    <row r="12" spans="1:3" x14ac:dyDescent="0.45">
      <c r="B12" s="14" t="s">
        <v>17</v>
      </c>
      <c r="C12" s="15" t="s">
        <v>18</v>
      </c>
    </row>
    <row r="13" spans="1:3" x14ac:dyDescent="0.45">
      <c r="B13" s="14" t="s">
        <v>19</v>
      </c>
      <c r="C13" s="15" t="s">
        <v>20</v>
      </c>
    </row>
    <row r="16" spans="1:3" ht="15.4" x14ac:dyDescent="0.45">
      <c r="B16" s="13" t="s">
        <v>21</v>
      </c>
    </row>
    <row r="17" spans="2:3" x14ac:dyDescent="0.45">
      <c r="C17" s="16" t="s">
        <v>22</v>
      </c>
    </row>
    <row r="18" spans="2:3" x14ac:dyDescent="0.45">
      <c r="C18" s="16" t="s">
        <v>23</v>
      </c>
    </row>
    <row r="19" spans="2:3" ht="25.5" x14ac:dyDescent="0.45">
      <c r="C19" s="16" t="s">
        <v>24</v>
      </c>
    </row>
    <row r="20" spans="2:3" x14ac:dyDescent="0.45">
      <c r="C20" s="16" t="s">
        <v>25</v>
      </c>
    </row>
    <row r="21" spans="2:3" x14ac:dyDescent="0.45">
      <c r="C21" s="16" t="s">
        <v>26</v>
      </c>
    </row>
    <row r="22" spans="2:3" x14ac:dyDescent="0.45">
      <c r="C22" s="16" t="s">
        <v>27</v>
      </c>
    </row>
    <row r="24" spans="2:3" ht="15.4" x14ac:dyDescent="0.45">
      <c r="B24" s="13" t="s">
        <v>28</v>
      </c>
    </row>
    <row r="25" spans="2:3" x14ac:dyDescent="0.45">
      <c r="B25" s="17" t="s">
        <v>29</v>
      </c>
      <c r="C25" s="15" t="s">
        <v>30</v>
      </c>
    </row>
    <row r="26" spans="2:3" x14ac:dyDescent="0.45">
      <c r="B26" s="18" t="s">
        <v>31</v>
      </c>
      <c r="C26" s="15" t="s">
        <v>32</v>
      </c>
    </row>
    <row r="27" spans="2:3" x14ac:dyDescent="0.45">
      <c r="B27" s="19" t="s">
        <v>33</v>
      </c>
      <c r="C27" s="15" t="s">
        <v>34</v>
      </c>
    </row>
    <row r="28" spans="2:3" x14ac:dyDescent="0.45">
      <c r="B28" s="14" t="s">
        <v>35</v>
      </c>
      <c r="C28" s="15" t="s">
        <v>36</v>
      </c>
    </row>
    <row r="29" spans="2:3" ht="25.5" x14ac:dyDescent="0.45">
      <c r="B29" s="14" t="s">
        <v>37</v>
      </c>
      <c r="C29" s="15" t="s">
        <v>38</v>
      </c>
    </row>
    <row r="30" spans="2:3" x14ac:dyDescent="0.45">
      <c r="B30" s="14" t="s">
        <v>39</v>
      </c>
      <c r="C30" s="15" t="s">
        <v>40</v>
      </c>
    </row>
    <row r="32" spans="2:3" ht="15.4" x14ac:dyDescent="0.45">
      <c r="B32" s="13" t="s">
        <v>41</v>
      </c>
    </row>
    <row r="33" spans="3:3" x14ac:dyDescent="0.45">
      <c r="C33" s="16" t="s">
        <v>42</v>
      </c>
    </row>
    <row r="34" spans="3:3" x14ac:dyDescent="0.45">
      <c r="C34" s="16" t="s">
        <v>43</v>
      </c>
    </row>
    <row r="35" spans="3:3" ht="25.5" x14ac:dyDescent="0.45">
      <c r="C35" s="16" t="s">
        <v>44</v>
      </c>
    </row>
    <row r="36" spans="3:3" ht="25.5" x14ac:dyDescent="0.45">
      <c r="C36" s="16" t="s">
        <v>45</v>
      </c>
    </row>
    <row r="37" spans="3:3" x14ac:dyDescent="0.45">
      <c r="C37" s="16" t="s">
        <v>46</v>
      </c>
    </row>
    <row r="38" spans="3:3" x14ac:dyDescent="0.45">
      <c r="C38" s="16" t="s">
        <v>47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E9B5A"/>
    <pageSetUpPr fitToPage="1"/>
  </sheetPr>
  <dimension ref="B1:P68"/>
  <sheetViews>
    <sheetView showGridLines="0" zoomScaleNormal="100" workbookViewId="0">
      <pane ySplit="5" topLeftCell="A6" activePane="bottomLeft" state="frozen"/>
      <selection pane="bottomLeft" activeCell="I5" sqref="I5:J5"/>
    </sheetView>
  </sheetViews>
  <sheetFormatPr defaultColWidth="8.6640625" defaultRowHeight="14.25" x14ac:dyDescent="0.45"/>
  <cols>
    <col min="1" max="1" width="2" customWidth="1"/>
    <col min="2" max="2" width="9" customWidth="1"/>
    <col min="3" max="3" width="18" customWidth="1"/>
    <col min="4" max="4" width="16" customWidth="1"/>
    <col min="5" max="5" width="17" customWidth="1"/>
    <col min="6" max="6" width="10" customWidth="1"/>
    <col min="7" max="8" width="11" customWidth="1"/>
    <col min="9" max="9" width="10" customWidth="1"/>
    <col min="10" max="12" width="11" customWidth="1"/>
    <col min="13" max="13" width="14" customWidth="1"/>
    <col min="14" max="14" width="22" customWidth="1"/>
  </cols>
  <sheetData>
    <row r="1" spans="2:14" ht="22.5" x14ac:dyDescent="0.6">
      <c r="B1" s="21" t="str">
        <f>Setup!$B$4&amp;": performance and risk dashboard"</f>
        <v>Example Retail Co: performance and risk dashboard</v>
      </c>
    </row>
    <row r="2" spans="2:14" x14ac:dyDescent="0.45">
      <c r="B2" s="12" t="str">
        <f>"Reporting month: "&amp;Setup!$B$6&amp;" "&amp;Setup!$B$5&amp;". To change it, pick another month on the Setup sheet."</f>
        <v>Reporting month: Sep 2026. To change it, pick another month on the Setup sheet.</v>
      </c>
    </row>
    <row r="4" spans="2:14" ht="24" customHeight="1" x14ac:dyDescent="0.45">
      <c r="B4" s="10" t="s">
        <v>48</v>
      </c>
      <c r="C4" s="10"/>
      <c r="D4" s="22" t="s">
        <v>49</v>
      </c>
      <c r="E4" s="22" t="s">
        <v>50</v>
      </c>
      <c r="F4" s="22" t="s">
        <v>29</v>
      </c>
      <c r="G4" s="22" t="s">
        <v>31</v>
      </c>
      <c r="H4" s="22" t="s">
        <v>33</v>
      </c>
      <c r="I4" s="10" t="s">
        <v>51</v>
      </c>
      <c r="J4" s="10"/>
      <c r="K4" s="10" t="s">
        <v>52</v>
      </c>
      <c r="L4" s="10"/>
      <c r="M4" s="10" t="s">
        <v>53</v>
      </c>
      <c r="N4" s="10"/>
    </row>
    <row r="5" spans="2:14" ht="37.5" customHeight="1" x14ac:dyDescent="0.45">
      <c r="B5" s="9">
        <f>COUNTIF(Tracker!$A$6:$A$65,"?*")</f>
        <v>24</v>
      </c>
      <c r="C5" s="9"/>
      <c r="D5" s="24">
        <f>IF(SUM(F5:H5)=0,"",F5/SUM(F5:H5))</f>
        <v>0.41666666666666669</v>
      </c>
      <c r="E5" s="23">
        <f>COUNTIF(Tracker!$Z$6:$Z$65,"Green")+COUNTIF(Tracker!$Z$6:$Z$65,"Amber")+COUNTIF(Tracker!$Z$6:$Z$65,"Red")</f>
        <v>24</v>
      </c>
      <c r="F5" s="25">
        <f>COUNTIF(Tracker!$Z$6:$Z$65,"Green")</f>
        <v>10</v>
      </c>
      <c r="G5" s="26">
        <f>COUNTIF(Tracker!$Z$6:$Z$65,"Amber")</f>
        <v>8</v>
      </c>
      <c r="H5" s="27">
        <f>COUNTIF(Tracker!$Z$6:$Z$65,"Red")</f>
        <v>6</v>
      </c>
      <c r="I5" s="8">
        <f>COUNTIFS(Tracker!$B$6:$B$65,"KRI",Tracker!$Z$6:$Z$65,"Red")</f>
        <v>4</v>
      </c>
      <c r="J5" s="8"/>
      <c r="K5" s="9">
        <f>COUNTIF(Actions!$I$6:$I$105,"Open")</f>
        <v>6</v>
      </c>
      <c r="L5" s="9"/>
      <c r="M5" s="8">
        <f>COUNTIF(Actions!$L$6:$L$105,"Overdue")</f>
        <v>3</v>
      </c>
      <c r="N5" s="8"/>
    </row>
    <row r="7" spans="2:14" ht="15.4" x14ac:dyDescent="0.45">
      <c r="B7" s="13" t="s">
        <v>54</v>
      </c>
    </row>
    <row r="8" spans="2:14" x14ac:dyDescent="0.45">
      <c r="B8" s="28" t="s">
        <v>55</v>
      </c>
      <c r="C8" s="7" t="s">
        <v>56</v>
      </c>
      <c r="D8" s="7"/>
      <c r="E8" s="7"/>
      <c r="F8" s="28" t="s">
        <v>7</v>
      </c>
      <c r="G8" s="28" t="s">
        <v>29</v>
      </c>
      <c r="H8" s="28" t="s">
        <v>31</v>
      </c>
      <c r="I8" s="28" t="s">
        <v>33</v>
      </c>
      <c r="J8" s="28" t="s">
        <v>37</v>
      </c>
      <c r="K8" s="28" t="s">
        <v>57</v>
      </c>
    </row>
    <row r="9" spans="2:14" x14ac:dyDescent="0.45">
      <c r="B9" s="29" t="str">
        <f>IF(Strategy!$A6="","",Strategy!$A6)</f>
        <v>C1</v>
      </c>
      <c r="C9" s="6" t="str">
        <f>IF(Strategy!$A6="","",Strategy!$C6)</f>
        <v>Grow revenue by 15% a year</v>
      </c>
      <c r="D9" s="6"/>
      <c r="E9" s="6"/>
      <c r="F9" s="30">
        <f>IF(Strategy!$A6="","",Strategy!$F6)</f>
        <v>5</v>
      </c>
      <c r="G9" s="30">
        <f>IF(Strategy!$A6="","",Strategy!$G6)</f>
        <v>3</v>
      </c>
      <c r="H9" s="30">
        <f>IF(Strategy!$A6="","",Strategy!$H6)</f>
        <v>2</v>
      </c>
      <c r="I9" s="30">
        <f>IF(Strategy!$A6="","",Strategy!$I6)</f>
        <v>0</v>
      </c>
      <c r="J9" s="31">
        <f>IF(Strategy!$A6="","",Strategy!$J6)</f>
        <v>0.8</v>
      </c>
      <c r="K9" s="32" t="str">
        <f>IF(Strategy!$A6="","",Strategy!$K6)</f>
        <v>On track</v>
      </c>
    </row>
    <row r="10" spans="2:14" x14ac:dyDescent="0.45">
      <c r="B10" s="29" t="str">
        <f>IF(Strategy!$A7="","",Strategy!$A7)</f>
        <v>C2</v>
      </c>
      <c r="C10" s="6" t="str">
        <f>IF(Strategy!$A7="","",Strategy!$C7)</f>
        <v>Customers come back more often</v>
      </c>
      <c r="D10" s="6"/>
      <c r="E10" s="6"/>
      <c r="F10" s="30">
        <f>IF(Strategy!$A7="","",Strategy!$F7)</f>
        <v>3</v>
      </c>
      <c r="G10" s="30">
        <f>IF(Strategy!$A7="","",Strategy!$G7)</f>
        <v>1</v>
      </c>
      <c r="H10" s="30">
        <f>IF(Strategy!$A7="","",Strategy!$H7)</f>
        <v>1</v>
      </c>
      <c r="I10" s="30">
        <f>IF(Strategy!$A7="","",Strategy!$I7)</f>
        <v>1</v>
      </c>
      <c r="J10" s="31">
        <f>IF(Strategy!$A7="","",Strategy!$J7)</f>
        <v>0.5</v>
      </c>
      <c r="K10" s="32" t="str">
        <f>IF(Strategy!$A7="","",Strategy!$K7)</f>
        <v>Watch</v>
      </c>
    </row>
    <row r="11" spans="2:14" x14ac:dyDescent="0.45">
      <c r="B11" s="29" t="str">
        <f>IF(Strategy!$A8="","",Strategy!$A8)</f>
        <v>C3</v>
      </c>
      <c r="C11" s="6" t="str">
        <f>IF(Strategy!$A8="","",Strategy!$C8)</f>
        <v>Make more profit from every sale</v>
      </c>
      <c r="D11" s="6"/>
      <c r="E11" s="6"/>
      <c r="F11" s="30">
        <f>IF(Strategy!$A8="","",Strategy!$F8)</f>
        <v>8</v>
      </c>
      <c r="G11" s="30">
        <f>IF(Strategy!$A8="","",Strategy!$G8)</f>
        <v>3</v>
      </c>
      <c r="H11" s="30">
        <f>IF(Strategy!$A8="","",Strategy!$H8)</f>
        <v>3</v>
      </c>
      <c r="I11" s="30">
        <f>IF(Strategy!$A8="","",Strategy!$I8)</f>
        <v>2</v>
      </c>
      <c r="J11" s="31">
        <f>IF(Strategy!$A8="","",Strategy!$J8)</f>
        <v>0.5625</v>
      </c>
      <c r="K11" s="32" t="str">
        <f>IF(Strategy!$A8="","",Strategy!$K8)</f>
        <v>Watch</v>
      </c>
    </row>
    <row r="12" spans="2:14" x14ac:dyDescent="0.45">
      <c r="B12" s="29" t="str">
        <f>IF(Strategy!$A9="","",Strategy!$A9)</f>
        <v>C4</v>
      </c>
      <c r="C12" s="6" t="str">
        <f>IF(Strategy!$A9="","",Strategy!$C9)</f>
        <v>Keep good people</v>
      </c>
      <c r="D12" s="6"/>
      <c r="E12" s="6"/>
      <c r="F12" s="30">
        <f>IF(Strategy!$A9="","",Strategy!$F9)</f>
        <v>3</v>
      </c>
      <c r="G12" s="30">
        <f>IF(Strategy!$A9="","",Strategy!$G9)</f>
        <v>1</v>
      </c>
      <c r="H12" s="30">
        <f>IF(Strategy!$A9="","",Strategy!$H9)</f>
        <v>1</v>
      </c>
      <c r="I12" s="30">
        <f>IF(Strategy!$A9="","",Strategy!$I9)</f>
        <v>1</v>
      </c>
      <c r="J12" s="31">
        <f>IF(Strategy!$A9="","",Strategy!$J9)</f>
        <v>0.5</v>
      </c>
      <c r="K12" s="32" t="str">
        <f>IF(Strategy!$A9="","",Strategy!$K9)</f>
        <v>Watch</v>
      </c>
    </row>
    <row r="13" spans="2:14" x14ac:dyDescent="0.45">
      <c r="B13" s="29" t="str">
        <f>IF(Strategy!$A10="","",Strategy!$A10)</f>
        <v>C5</v>
      </c>
      <c r="C13" s="6" t="str">
        <f>IF(Strategy!$A10="","",Strategy!$C10)</f>
        <v>Grow without a major compliance or cyber incident</v>
      </c>
      <c r="D13" s="6"/>
      <c r="E13" s="6"/>
      <c r="F13" s="30">
        <f>IF(Strategy!$A10="","",Strategy!$F10)</f>
        <v>5</v>
      </c>
      <c r="G13" s="30">
        <f>IF(Strategy!$A10="","",Strategy!$G10)</f>
        <v>2</v>
      </c>
      <c r="H13" s="30">
        <f>IF(Strategy!$A10="","",Strategy!$H10)</f>
        <v>1</v>
      </c>
      <c r="I13" s="30">
        <f>IF(Strategy!$A10="","",Strategy!$I10)</f>
        <v>2</v>
      </c>
      <c r="J13" s="31">
        <f>IF(Strategy!$A10="","",Strategy!$J10)</f>
        <v>0.5</v>
      </c>
      <c r="K13" s="32" t="str">
        <f>IF(Strategy!$A10="","",Strategy!$K10)</f>
        <v>Watch</v>
      </c>
    </row>
    <row r="14" spans="2:14" x14ac:dyDescent="0.45">
      <c r="B14" s="29" t="str">
        <f>IF(Strategy!$A11="","",Strategy!$A11)</f>
        <v/>
      </c>
      <c r="C14" s="6" t="str">
        <f>IF(Strategy!$A11="","",Strategy!$C11)</f>
        <v/>
      </c>
      <c r="D14" s="6"/>
      <c r="E14" s="6"/>
      <c r="F14" s="30" t="str">
        <f>IF(Strategy!$A11="","",Strategy!$F11)</f>
        <v/>
      </c>
      <c r="G14" s="30" t="str">
        <f>IF(Strategy!$A11="","",Strategy!$G11)</f>
        <v/>
      </c>
      <c r="H14" s="30" t="str">
        <f>IF(Strategy!$A11="","",Strategy!$H11)</f>
        <v/>
      </c>
      <c r="I14" s="30" t="str">
        <f>IF(Strategy!$A11="","",Strategy!$I11)</f>
        <v/>
      </c>
      <c r="J14" s="31" t="str">
        <f>IF(Strategy!$A11="","",Strategy!$J11)</f>
        <v/>
      </c>
      <c r="K14" s="32" t="str">
        <f>IF(Strategy!$A11="","",Strategy!$K11)</f>
        <v/>
      </c>
    </row>
    <row r="15" spans="2:14" x14ac:dyDescent="0.45">
      <c r="B15" s="29" t="str">
        <f>IF(Strategy!$A12="","",Strategy!$A12)</f>
        <v/>
      </c>
      <c r="C15" s="6" t="str">
        <f>IF(Strategy!$A12="","",Strategy!$C12)</f>
        <v/>
      </c>
      <c r="D15" s="6"/>
      <c r="E15" s="6"/>
      <c r="F15" s="30" t="str">
        <f>IF(Strategy!$A12="","",Strategy!$F12)</f>
        <v/>
      </c>
      <c r="G15" s="30" t="str">
        <f>IF(Strategy!$A12="","",Strategy!$G12)</f>
        <v/>
      </c>
      <c r="H15" s="30" t="str">
        <f>IF(Strategy!$A12="","",Strategy!$H12)</f>
        <v/>
      </c>
      <c r="I15" s="30" t="str">
        <f>IF(Strategy!$A12="","",Strategy!$I12)</f>
        <v/>
      </c>
      <c r="J15" s="31" t="str">
        <f>IF(Strategy!$A12="","",Strategy!$J12)</f>
        <v/>
      </c>
      <c r="K15" s="32" t="str">
        <f>IF(Strategy!$A12="","",Strategy!$K12)</f>
        <v/>
      </c>
    </row>
    <row r="16" spans="2:14" x14ac:dyDescent="0.45">
      <c r="B16" s="29" t="str">
        <f>IF(Strategy!$A13="","",Strategy!$A13)</f>
        <v/>
      </c>
      <c r="C16" s="6" t="str">
        <f>IF(Strategy!$A13="","",Strategy!$C13)</f>
        <v/>
      </c>
      <c r="D16" s="6"/>
      <c r="E16" s="6"/>
      <c r="F16" s="30" t="str">
        <f>IF(Strategy!$A13="","",Strategy!$F13)</f>
        <v/>
      </c>
      <c r="G16" s="30" t="str">
        <f>IF(Strategy!$A13="","",Strategy!$G13)</f>
        <v/>
      </c>
      <c r="H16" s="30" t="str">
        <f>IF(Strategy!$A13="","",Strategy!$H13)</f>
        <v/>
      </c>
      <c r="I16" s="30" t="str">
        <f>IF(Strategy!$A13="","",Strategy!$I13)</f>
        <v/>
      </c>
      <c r="J16" s="31" t="str">
        <f>IF(Strategy!$A13="","",Strategy!$J13)</f>
        <v/>
      </c>
      <c r="K16" s="32" t="str">
        <f>IF(Strategy!$A13="","",Strategy!$K13)</f>
        <v/>
      </c>
    </row>
    <row r="18" spans="2:14" ht="15.4" x14ac:dyDescent="0.45">
      <c r="B18" s="13" t="s">
        <v>58</v>
      </c>
    </row>
    <row r="19" spans="2:14" ht="30" customHeight="1" x14ac:dyDescent="0.45">
      <c r="B19" s="5" t="s">
        <v>59</v>
      </c>
      <c r="C19" s="5"/>
      <c r="D19" s="33" t="s">
        <v>60</v>
      </c>
      <c r="E19" s="33" t="s">
        <v>61</v>
      </c>
      <c r="F19" s="33" t="s">
        <v>62</v>
      </c>
      <c r="G19" s="33" t="s">
        <v>29</v>
      </c>
      <c r="H19" s="33" t="s">
        <v>31</v>
      </c>
      <c r="I19" s="33" t="s">
        <v>33</v>
      </c>
      <c r="J19" s="33" t="s">
        <v>63</v>
      </c>
      <c r="K19" s="33" t="s">
        <v>37</v>
      </c>
      <c r="L19" s="33" t="s">
        <v>57</v>
      </c>
      <c r="M19" s="33" t="s">
        <v>52</v>
      </c>
      <c r="N19" s="33" t="s">
        <v>64</v>
      </c>
    </row>
    <row r="20" spans="2:14" ht="25.5" x14ac:dyDescent="0.45">
      <c r="B20" s="4" t="str">
        <f>IF(Setup!$A13="","",Setup!$A13)</f>
        <v>Sales and e-commerce</v>
      </c>
      <c r="C20" s="4"/>
      <c r="D20" s="15" t="str">
        <f>IF(B20="","",Setup!$B13)</f>
        <v>Chief Commercial Officer</v>
      </c>
      <c r="E20" s="30">
        <f>IF(B20="","",COUNTIFS(Tracker!$D$6:$D$65,B20,Tracker!$B$6:$B$65,"KPI"))</f>
        <v>4</v>
      </c>
      <c r="F20" s="30">
        <f>IF(B20="","",COUNTIFS(Tracker!$D$6:$D$65,B20,Tracker!$B$6:$B$65,"KRI"))</f>
        <v>1</v>
      </c>
      <c r="G20" s="30">
        <f>IF(B20="","",COUNTIFS(Tracker!$D$6:$D$65,B20,Tracker!$Z$6:$Z$65,"Green"))</f>
        <v>3</v>
      </c>
      <c r="H20" s="30">
        <f>IF(B20="","",COUNTIFS(Tracker!$D$6:$D$65,B20,Tracker!$Z$6:$Z$65,"Amber"))</f>
        <v>2</v>
      </c>
      <c r="I20" s="30">
        <f>IF(B20="","",COUNTIFS(Tracker!$D$6:$D$65,B20,Tracker!$Z$6:$Z$65,"Red"))</f>
        <v>0</v>
      </c>
      <c r="J20" s="30">
        <f>IF(B20="","",COUNTIFS(Tracker!$D$6:$D$65,B20,Tracker!$Z$6:$Z$65,"No data"))</f>
        <v>0</v>
      </c>
      <c r="K20" s="31">
        <f t="shared" ref="K20:K29" si="0">IF(OR(B20="",SUM(G20:I20)=0),"",(G20+0.5*H20)/SUM(G20:I20))</f>
        <v>0.8</v>
      </c>
      <c r="L20" s="32" t="str">
        <f t="shared" ref="L20:L29" si="1">IF(K20="","",IF(K20&gt;=0.75,"On track",IF(K20&gt;=0.5,"Watch","Off track")))</f>
        <v>On track</v>
      </c>
      <c r="M20" s="30">
        <f>IF(B20="","",COUNTIFS(Actions!$D$6:$D$105,B20,Actions!$I$6:$I$105,"Open"))</f>
        <v>1</v>
      </c>
      <c r="N20" s="30">
        <f>IF(B20="","",COUNTIFS(Actions!$D$6:$D$105,B20,Actions!$L$6:$L$105,"Overdue"))</f>
        <v>1</v>
      </c>
    </row>
    <row r="21" spans="2:14" x14ac:dyDescent="0.45">
      <c r="B21" s="4" t="str">
        <f>IF(Setup!$A14="","",Setup!$A14)</f>
        <v>Marketing and service</v>
      </c>
      <c r="C21" s="4"/>
      <c r="D21" s="15" t="str">
        <f>IF(B21="","",Setup!$B14)</f>
        <v>Head of Marketing</v>
      </c>
      <c r="E21" s="30">
        <f>IF(B21="","",COUNTIFS(Tracker!$D$6:$D$65,B21,Tracker!$B$6:$B$65,"KPI"))</f>
        <v>3</v>
      </c>
      <c r="F21" s="30">
        <f>IF(B21="","",COUNTIFS(Tracker!$D$6:$D$65,B21,Tracker!$B$6:$B$65,"KRI"))</f>
        <v>0</v>
      </c>
      <c r="G21" s="30">
        <f>IF(B21="","",COUNTIFS(Tracker!$D$6:$D$65,B21,Tracker!$Z$6:$Z$65,"Green"))</f>
        <v>1</v>
      </c>
      <c r="H21" s="30">
        <f>IF(B21="","",COUNTIFS(Tracker!$D$6:$D$65,B21,Tracker!$Z$6:$Z$65,"Amber"))</f>
        <v>1</v>
      </c>
      <c r="I21" s="30">
        <f>IF(B21="","",COUNTIFS(Tracker!$D$6:$D$65,B21,Tracker!$Z$6:$Z$65,"Red"))</f>
        <v>1</v>
      </c>
      <c r="J21" s="30">
        <f>IF(B21="","",COUNTIFS(Tracker!$D$6:$D$65,B21,Tracker!$Z$6:$Z$65,"No data"))</f>
        <v>0</v>
      </c>
      <c r="K21" s="31">
        <f t="shared" si="0"/>
        <v>0.5</v>
      </c>
      <c r="L21" s="32" t="str">
        <f t="shared" si="1"/>
        <v>Watch</v>
      </c>
      <c r="M21" s="30">
        <f>IF(B21="","",COUNTIFS(Actions!$D$6:$D$105,B21,Actions!$I$6:$I$105,"Open"))</f>
        <v>0</v>
      </c>
      <c r="N21" s="30">
        <f>IF(B21="","",COUNTIFS(Actions!$D$6:$D$105,B21,Actions!$L$6:$L$105,"Overdue"))</f>
        <v>0</v>
      </c>
    </row>
    <row r="22" spans="2:14" ht="25.5" x14ac:dyDescent="0.45">
      <c r="B22" s="4" t="str">
        <f>IF(Setup!$A15="","",Setup!$A15)</f>
        <v>Supply chain</v>
      </c>
      <c r="C22" s="4"/>
      <c r="D22" s="15" t="str">
        <f>IF(B22="","",Setup!$B15)</f>
        <v>Head of Supply Chain</v>
      </c>
      <c r="E22" s="30">
        <f>IF(B22="","",COUNTIFS(Tracker!$D$6:$D$65,B22,Tracker!$B$6:$B$65,"KPI"))</f>
        <v>2</v>
      </c>
      <c r="F22" s="30">
        <f>IF(B22="","",COUNTIFS(Tracker!$D$6:$D$65,B22,Tracker!$B$6:$B$65,"KRI"))</f>
        <v>2</v>
      </c>
      <c r="G22" s="30">
        <f>IF(B22="","",COUNTIFS(Tracker!$D$6:$D$65,B22,Tracker!$Z$6:$Z$65,"Green"))</f>
        <v>2</v>
      </c>
      <c r="H22" s="30">
        <f>IF(B22="","",COUNTIFS(Tracker!$D$6:$D$65,B22,Tracker!$Z$6:$Z$65,"Amber"))</f>
        <v>1</v>
      </c>
      <c r="I22" s="30">
        <f>IF(B22="","",COUNTIFS(Tracker!$D$6:$D$65,B22,Tracker!$Z$6:$Z$65,"Red"))</f>
        <v>1</v>
      </c>
      <c r="J22" s="30">
        <f>IF(B22="","",COUNTIFS(Tracker!$D$6:$D$65,B22,Tracker!$Z$6:$Z$65,"No data"))</f>
        <v>0</v>
      </c>
      <c r="K22" s="31">
        <f t="shared" si="0"/>
        <v>0.625</v>
      </c>
      <c r="L22" s="32" t="str">
        <f t="shared" si="1"/>
        <v>Watch</v>
      </c>
      <c r="M22" s="30">
        <f>IF(B22="","",COUNTIFS(Actions!$D$6:$D$105,B22,Actions!$I$6:$I$105,"Open"))</f>
        <v>1</v>
      </c>
      <c r="N22" s="30">
        <f>IF(B22="","",COUNTIFS(Actions!$D$6:$D$105,B22,Actions!$L$6:$L$105,"Overdue"))</f>
        <v>0</v>
      </c>
    </row>
    <row r="23" spans="2:14" x14ac:dyDescent="0.45">
      <c r="B23" s="4" t="str">
        <f>IF(Setup!$A16="","",Setup!$A16)</f>
        <v>Finance</v>
      </c>
      <c r="C23" s="4"/>
      <c r="D23" s="15" t="str">
        <f>IF(B23="","",Setup!$B16)</f>
        <v>CFO</v>
      </c>
      <c r="E23" s="30">
        <f>IF(B23="","",COUNTIFS(Tracker!$D$6:$D$65,B23,Tracker!$B$6:$B$65,"KPI"))</f>
        <v>2</v>
      </c>
      <c r="F23" s="30">
        <f>IF(B23="","",COUNTIFS(Tracker!$D$6:$D$65,B23,Tracker!$B$6:$B$65,"KRI"))</f>
        <v>2</v>
      </c>
      <c r="G23" s="30">
        <f>IF(B23="","",COUNTIFS(Tracker!$D$6:$D$65,B23,Tracker!$Z$6:$Z$65,"Green"))</f>
        <v>1</v>
      </c>
      <c r="H23" s="30">
        <f>IF(B23="","",COUNTIFS(Tracker!$D$6:$D$65,B23,Tracker!$Z$6:$Z$65,"Amber"))</f>
        <v>2</v>
      </c>
      <c r="I23" s="30">
        <f>IF(B23="","",COUNTIFS(Tracker!$D$6:$D$65,B23,Tracker!$Z$6:$Z$65,"Red"))</f>
        <v>1</v>
      </c>
      <c r="J23" s="30">
        <f>IF(B23="","",COUNTIFS(Tracker!$D$6:$D$65,B23,Tracker!$Z$6:$Z$65,"No data"))</f>
        <v>0</v>
      </c>
      <c r="K23" s="31">
        <f t="shared" si="0"/>
        <v>0.5</v>
      </c>
      <c r="L23" s="32" t="str">
        <f t="shared" si="1"/>
        <v>Watch</v>
      </c>
      <c r="M23" s="30">
        <f>IF(B23="","",COUNTIFS(Actions!$D$6:$D$105,B23,Actions!$I$6:$I$105,"Open"))</f>
        <v>1</v>
      </c>
      <c r="N23" s="30">
        <f>IF(B23="","",COUNTIFS(Actions!$D$6:$D$105,B23,Actions!$L$6:$L$105,"Overdue"))</f>
        <v>0</v>
      </c>
    </row>
    <row r="24" spans="2:14" x14ac:dyDescent="0.45">
      <c r="B24" s="4" t="str">
        <f>IF(Setup!$A17="","",Setup!$A17)</f>
        <v>People (HR)</v>
      </c>
      <c r="C24" s="4"/>
      <c r="D24" s="15" t="str">
        <f>IF(B24="","",Setup!$B17)</f>
        <v>HR Director</v>
      </c>
      <c r="E24" s="30">
        <f>IF(B24="","",COUNTIFS(Tracker!$D$6:$D$65,B24,Tracker!$B$6:$B$65,"KPI"))</f>
        <v>2</v>
      </c>
      <c r="F24" s="30">
        <f>IF(B24="","",COUNTIFS(Tracker!$D$6:$D$65,B24,Tracker!$B$6:$B$65,"KRI"))</f>
        <v>1</v>
      </c>
      <c r="G24" s="30">
        <f>IF(B24="","",COUNTIFS(Tracker!$D$6:$D$65,B24,Tracker!$Z$6:$Z$65,"Green"))</f>
        <v>1</v>
      </c>
      <c r="H24" s="30">
        <f>IF(B24="","",COUNTIFS(Tracker!$D$6:$D$65,B24,Tracker!$Z$6:$Z$65,"Amber"))</f>
        <v>1</v>
      </c>
      <c r="I24" s="30">
        <f>IF(B24="","",COUNTIFS(Tracker!$D$6:$D$65,B24,Tracker!$Z$6:$Z$65,"Red"))</f>
        <v>1</v>
      </c>
      <c r="J24" s="30">
        <f>IF(B24="","",COUNTIFS(Tracker!$D$6:$D$65,B24,Tracker!$Z$6:$Z$65,"No data"))</f>
        <v>0</v>
      </c>
      <c r="K24" s="31">
        <f t="shared" si="0"/>
        <v>0.5</v>
      </c>
      <c r="L24" s="32" t="str">
        <f t="shared" si="1"/>
        <v>Watch</v>
      </c>
      <c r="M24" s="30">
        <f>IF(B24="","",COUNTIFS(Actions!$D$6:$D$105,B24,Actions!$I$6:$I$105,"Open"))</f>
        <v>1</v>
      </c>
      <c r="N24" s="30">
        <f>IF(B24="","",COUNTIFS(Actions!$D$6:$D$105,B24,Actions!$L$6:$L$105,"Overdue"))</f>
        <v>0</v>
      </c>
    </row>
    <row r="25" spans="2:14" x14ac:dyDescent="0.45">
      <c r="B25" s="4" t="str">
        <f>IF(Setup!$A18="","",Setup!$A18)</f>
        <v>IT</v>
      </c>
      <c r="C25" s="4"/>
      <c r="D25" s="15" t="str">
        <f>IF(B25="","",Setup!$B18)</f>
        <v>Head of IT</v>
      </c>
      <c r="E25" s="30">
        <f>IF(B25="","",COUNTIFS(Tracker!$D$6:$D$65,B25,Tracker!$B$6:$B$65,"KPI"))</f>
        <v>0</v>
      </c>
      <c r="F25" s="30">
        <f>IF(B25="","",COUNTIFS(Tracker!$D$6:$D$65,B25,Tracker!$B$6:$B$65,"KRI"))</f>
        <v>3</v>
      </c>
      <c r="G25" s="30">
        <f>IF(B25="","",COUNTIFS(Tracker!$D$6:$D$65,B25,Tracker!$Z$6:$Z$65,"Green"))</f>
        <v>2</v>
      </c>
      <c r="H25" s="30">
        <f>IF(B25="","",COUNTIFS(Tracker!$D$6:$D$65,B25,Tracker!$Z$6:$Z$65,"Amber"))</f>
        <v>1</v>
      </c>
      <c r="I25" s="30">
        <f>IF(B25="","",COUNTIFS(Tracker!$D$6:$D$65,B25,Tracker!$Z$6:$Z$65,"Red"))</f>
        <v>0</v>
      </c>
      <c r="J25" s="30">
        <f>IF(B25="","",COUNTIFS(Tracker!$D$6:$D$65,B25,Tracker!$Z$6:$Z$65,"No data"))</f>
        <v>0</v>
      </c>
      <c r="K25" s="31">
        <f t="shared" si="0"/>
        <v>0.83333333333333337</v>
      </c>
      <c r="L25" s="32" t="str">
        <f t="shared" si="1"/>
        <v>On track</v>
      </c>
      <c r="M25" s="30">
        <f>IF(B25="","",COUNTIFS(Actions!$D$6:$D$105,B25,Actions!$I$6:$I$105,"Open"))</f>
        <v>0</v>
      </c>
      <c r="N25" s="30">
        <f>IF(B25="","",COUNTIFS(Actions!$D$6:$D$105,B25,Actions!$L$6:$L$105,"Overdue"))</f>
        <v>0</v>
      </c>
    </row>
    <row r="26" spans="2:14" x14ac:dyDescent="0.45">
      <c r="B26" s="4" t="str">
        <f>IF(Setup!$A19="","",Setup!$A19)</f>
        <v>Risk and compliance</v>
      </c>
      <c r="C26" s="4"/>
      <c r="D26" s="15" t="str">
        <f>IF(B26="","",Setup!$B19)</f>
        <v>Chief Risk Officer</v>
      </c>
      <c r="E26" s="30">
        <f>IF(B26="","",COUNTIFS(Tracker!$D$6:$D$65,B26,Tracker!$B$6:$B$65,"KPI"))</f>
        <v>0</v>
      </c>
      <c r="F26" s="30">
        <f>IF(B26="","",COUNTIFS(Tracker!$D$6:$D$65,B26,Tracker!$B$6:$B$65,"KRI"))</f>
        <v>2</v>
      </c>
      <c r="G26" s="30">
        <f>IF(B26="","",COUNTIFS(Tracker!$D$6:$D$65,B26,Tracker!$Z$6:$Z$65,"Green"))</f>
        <v>0</v>
      </c>
      <c r="H26" s="30">
        <f>IF(B26="","",COUNTIFS(Tracker!$D$6:$D$65,B26,Tracker!$Z$6:$Z$65,"Amber"))</f>
        <v>0</v>
      </c>
      <c r="I26" s="30">
        <f>IF(B26="","",COUNTIFS(Tracker!$D$6:$D$65,B26,Tracker!$Z$6:$Z$65,"Red"))</f>
        <v>2</v>
      </c>
      <c r="J26" s="30">
        <f>IF(B26="","",COUNTIFS(Tracker!$D$6:$D$65,B26,Tracker!$Z$6:$Z$65,"No data"))</f>
        <v>0</v>
      </c>
      <c r="K26" s="31">
        <f t="shared" si="0"/>
        <v>0</v>
      </c>
      <c r="L26" s="32" t="str">
        <f t="shared" si="1"/>
        <v>Off track</v>
      </c>
      <c r="M26" s="30">
        <f>IF(B26="","",COUNTIFS(Actions!$D$6:$D$105,B26,Actions!$I$6:$I$105,"Open"))</f>
        <v>2</v>
      </c>
      <c r="N26" s="30">
        <f>IF(B26="","",COUNTIFS(Actions!$D$6:$D$105,B26,Actions!$L$6:$L$105,"Overdue"))</f>
        <v>2</v>
      </c>
    </row>
    <row r="27" spans="2:14" x14ac:dyDescent="0.45">
      <c r="B27" s="4" t="str">
        <f>IF(Setup!$A20="","",Setup!$A20)</f>
        <v/>
      </c>
      <c r="C27" s="4"/>
      <c r="D27" s="15" t="str">
        <f>IF(B27="","",Setup!$B20)</f>
        <v/>
      </c>
      <c r="E27" s="30" t="str">
        <f>IF(B27="","",COUNTIFS(Tracker!$D$6:$D$65,B27,Tracker!$B$6:$B$65,"KPI"))</f>
        <v/>
      </c>
      <c r="F27" s="30" t="str">
        <f>IF(B27="","",COUNTIFS(Tracker!$D$6:$D$65,B27,Tracker!$B$6:$B$65,"KRI"))</f>
        <v/>
      </c>
      <c r="G27" s="30" t="str">
        <f>IF(B27="","",COUNTIFS(Tracker!$D$6:$D$65,B27,Tracker!$Z$6:$Z$65,"Green"))</f>
        <v/>
      </c>
      <c r="H27" s="30" t="str">
        <f>IF(B27="","",COUNTIFS(Tracker!$D$6:$D$65,B27,Tracker!$Z$6:$Z$65,"Amber"))</f>
        <v/>
      </c>
      <c r="I27" s="30" t="str">
        <f>IF(B27="","",COUNTIFS(Tracker!$D$6:$D$65,B27,Tracker!$Z$6:$Z$65,"Red"))</f>
        <v/>
      </c>
      <c r="J27" s="30" t="str">
        <f>IF(B27="","",COUNTIFS(Tracker!$D$6:$D$65,B27,Tracker!$Z$6:$Z$65,"No data"))</f>
        <v/>
      </c>
      <c r="K27" s="31" t="str">
        <f t="shared" si="0"/>
        <v/>
      </c>
      <c r="L27" s="32" t="str">
        <f t="shared" si="1"/>
        <v/>
      </c>
      <c r="M27" s="30" t="str">
        <f>IF(B27="","",COUNTIFS(Actions!$D$6:$D$105,B27,Actions!$I$6:$I$105,"Open"))</f>
        <v/>
      </c>
      <c r="N27" s="30" t="str">
        <f>IF(B27="","",COUNTIFS(Actions!$D$6:$D$105,B27,Actions!$L$6:$L$105,"Overdue"))</f>
        <v/>
      </c>
    </row>
    <row r="28" spans="2:14" x14ac:dyDescent="0.45">
      <c r="B28" s="4" t="str">
        <f>IF(Setup!$A21="","",Setup!$A21)</f>
        <v/>
      </c>
      <c r="C28" s="4"/>
      <c r="D28" s="15" t="str">
        <f>IF(B28="","",Setup!$B21)</f>
        <v/>
      </c>
      <c r="E28" s="30" t="str">
        <f>IF(B28="","",COUNTIFS(Tracker!$D$6:$D$65,B28,Tracker!$B$6:$B$65,"KPI"))</f>
        <v/>
      </c>
      <c r="F28" s="30" t="str">
        <f>IF(B28="","",COUNTIFS(Tracker!$D$6:$D$65,B28,Tracker!$B$6:$B$65,"KRI"))</f>
        <v/>
      </c>
      <c r="G28" s="30" t="str">
        <f>IF(B28="","",COUNTIFS(Tracker!$D$6:$D$65,B28,Tracker!$Z$6:$Z$65,"Green"))</f>
        <v/>
      </c>
      <c r="H28" s="30" t="str">
        <f>IF(B28="","",COUNTIFS(Tracker!$D$6:$D$65,B28,Tracker!$Z$6:$Z$65,"Amber"))</f>
        <v/>
      </c>
      <c r="I28" s="30" t="str">
        <f>IF(B28="","",COUNTIFS(Tracker!$D$6:$D$65,B28,Tracker!$Z$6:$Z$65,"Red"))</f>
        <v/>
      </c>
      <c r="J28" s="30" t="str">
        <f>IF(B28="","",COUNTIFS(Tracker!$D$6:$D$65,B28,Tracker!$Z$6:$Z$65,"No data"))</f>
        <v/>
      </c>
      <c r="K28" s="31" t="str">
        <f t="shared" si="0"/>
        <v/>
      </c>
      <c r="L28" s="32" t="str">
        <f t="shared" si="1"/>
        <v/>
      </c>
      <c r="M28" s="30" t="str">
        <f>IF(B28="","",COUNTIFS(Actions!$D$6:$D$105,B28,Actions!$I$6:$I$105,"Open"))</f>
        <v/>
      </c>
      <c r="N28" s="30" t="str">
        <f>IF(B28="","",COUNTIFS(Actions!$D$6:$D$105,B28,Actions!$L$6:$L$105,"Overdue"))</f>
        <v/>
      </c>
    </row>
    <row r="29" spans="2:14" x14ac:dyDescent="0.45">
      <c r="B29" s="4" t="str">
        <f>IF(Setup!$A22="","",Setup!$A22)</f>
        <v/>
      </c>
      <c r="C29" s="4"/>
      <c r="D29" s="15" t="str">
        <f>IF(B29="","",Setup!$B22)</f>
        <v/>
      </c>
      <c r="E29" s="30" t="str">
        <f>IF(B29="","",COUNTIFS(Tracker!$D$6:$D$65,B29,Tracker!$B$6:$B$65,"KPI"))</f>
        <v/>
      </c>
      <c r="F29" s="30" t="str">
        <f>IF(B29="","",COUNTIFS(Tracker!$D$6:$D$65,B29,Tracker!$B$6:$B$65,"KRI"))</f>
        <v/>
      </c>
      <c r="G29" s="30" t="str">
        <f>IF(B29="","",COUNTIFS(Tracker!$D$6:$D$65,B29,Tracker!$Z$6:$Z$65,"Green"))</f>
        <v/>
      </c>
      <c r="H29" s="30" t="str">
        <f>IF(B29="","",COUNTIFS(Tracker!$D$6:$D$65,B29,Tracker!$Z$6:$Z$65,"Amber"))</f>
        <v/>
      </c>
      <c r="I29" s="30" t="str">
        <f>IF(B29="","",COUNTIFS(Tracker!$D$6:$D$65,B29,Tracker!$Z$6:$Z$65,"Red"))</f>
        <v/>
      </c>
      <c r="J29" s="30" t="str">
        <f>IF(B29="","",COUNTIFS(Tracker!$D$6:$D$65,B29,Tracker!$Z$6:$Z$65,"No data"))</f>
        <v/>
      </c>
      <c r="K29" s="31" t="str">
        <f t="shared" si="0"/>
        <v/>
      </c>
      <c r="L29" s="32" t="str">
        <f t="shared" si="1"/>
        <v/>
      </c>
      <c r="M29" s="30" t="str">
        <f>IF(B29="","",COUNTIFS(Actions!$D$6:$D$105,B29,Actions!$I$6:$I$105,"Open"))</f>
        <v/>
      </c>
      <c r="N29" s="30" t="str">
        <f>IF(B29="","",COUNTIFS(Actions!$D$6:$D$105,B29,Actions!$L$6:$L$105,"Overdue"))</f>
        <v/>
      </c>
    </row>
    <row r="31" spans="2:14" ht="15.4" x14ac:dyDescent="0.45">
      <c r="B31" s="13" t="s">
        <v>65</v>
      </c>
    </row>
    <row r="32" spans="2:14" x14ac:dyDescent="0.45">
      <c r="B32" s="34" t="s">
        <v>66</v>
      </c>
      <c r="C32" s="28" t="s">
        <v>50</v>
      </c>
      <c r="D32" s="28" t="s">
        <v>29</v>
      </c>
      <c r="E32" s="28" t="s">
        <v>31</v>
      </c>
      <c r="F32" s="28" t="s">
        <v>33</v>
      </c>
      <c r="G32" s="28" t="s">
        <v>67</v>
      </c>
    </row>
    <row r="33" spans="2:14" x14ac:dyDescent="0.45">
      <c r="B33" s="29" t="s">
        <v>68</v>
      </c>
      <c r="C33" s="30">
        <f>COUNTIF(Calc!$B$6:$B$65,"G")+COUNTIF(Calc!$B$6:$B$65,"A")+COUNTIF(Calc!$B$6:$B$65,"R")</f>
        <v>24</v>
      </c>
      <c r="D33" s="30">
        <f>COUNTIF(Calc!$B$6:$B$65,"G")</f>
        <v>5</v>
      </c>
      <c r="E33" s="30">
        <f>COUNTIF(Calc!$B$6:$B$65,"A")</f>
        <v>6</v>
      </c>
      <c r="F33" s="30">
        <f>COUNTIF(Calc!$B$6:$B$65,"R")</f>
        <v>13</v>
      </c>
      <c r="G33" s="31">
        <f t="shared" ref="G33:G44" si="2">IF(C33=0,0,D33/C33)</f>
        <v>0.20833333333333334</v>
      </c>
    </row>
    <row r="34" spans="2:14" x14ac:dyDescent="0.45">
      <c r="B34" s="29" t="s">
        <v>69</v>
      </c>
      <c r="C34" s="30">
        <f>COUNTIF(Calc!$C$6:$C$65,"G")+COUNTIF(Calc!$C$6:$C$65,"A")+COUNTIF(Calc!$C$6:$C$65,"R")</f>
        <v>24</v>
      </c>
      <c r="D34" s="30">
        <f>COUNTIF(Calc!$C$6:$C$65,"G")</f>
        <v>4</v>
      </c>
      <c r="E34" s="30">
        <f>COUNTIF(Calc!$C$6:$C$65,"A")</f>
        <v>9</v>
      </c>
      <c r="F34" s="30">
        <f>COUNTIF(Calc!$C$6:$C$65,"R")</f>
        <v>11</v>
      </c>
      <c r="G34" s="31">
        <f t="shared" si="2"/>
        <v>0.16666666666666666</v>
      </c>
    </row>
    <row r="35" spans="2:14" x14ac:dyDescent="0.45">
      <c r="B35" s="29" t="s">
        <v>70</v>
      </c>
      <c r="C35" s="30">
        <f>COUNTIF(Calc!$D$6:$D$65,"G")+COUNTIF(Calc!$D$6:$D$65,"A")+COUNTIF(Calc!$D$6:$D$65,"R")</f>
        <v>24</v>
      </c>
      <c r="D35" s="30">
        <f>COUNTIF(Calc!$D$6:$D$65,"G")</f>
        <v>5</v>
      </c>
      <c r="E35" s="30">
        <f>COUNTIF(Calc!$D$6:$D$65,"A")</f>
        <v>11</v>
      </c>
      <c r="F35" s="30">
        <f>COUNTIF(Calc!$D$6:$D$65,"R")</f>
        <v>8</v>
      </c>
      <c r="G35" s="31">
        <f t="shared" si="2"/>
        <v>0.20833333333333334</v>
      </c>
    </row>
    <row r="36" spans="2:14" x14ac:dyDescent="0.45">
      <c r="B36" s="29" t="s">
        <v>71</v>
      </c>
      <c r="C36" s="30">
        <f>COUNTIF(Calc!$E$6:$E$65,"G")+COUNTIF(Calc!$E$6:$E$65,"A")+COUNTIF(Calc!$E$6:$E$65,"R")</f>
        <v>24</v>
      </c>
      <c r="D36" s="30">
        <f>COUNTIF(Calc!$E$6:$E$65,"G")</f>
        <v>5</v>
      </c>
      <c r="E36" s="30">
        <f>COUNTIF(Calc!$E$6:$E$65,"A")</f>
        <v>12</v>
      </c>
      <c r="F36" s="30">
        <f>COUNTIF(Calc!$E$6:$E$65,"R")</f>
        <v>7</v>
      </c>
      <c r="G36" s="31">
        <f t="shared" si="2"/>
        <v>0.20833333333333334</v>
      </c>
    </row>
    <row r="37" spans="2:14" x14ac:dyDescent="0.45">
      <c r="B37" s="29" t="s">
        <v>72</v>
      </c>
      <c r="C37" s="30">
        <f>COUNTIF(Calc!$F$6:$F$65,"G")+COUNTIF(Calc!$F$6:$F$65,"A")+COUNTIF(Calc!$F$6:$F$65,"R")</f>
        <v>24</v>
      </c>
      <c r="D37" s="30">
        <f>COUNTIF(Calc!$F$6:$F$65,"G")</f>
        <v>4</v>
      </c>
      <c r="E37" s="30">
        <f>COUNTIF(Calc!$F$6:$F$65,"A")</f>
        <v>17</v>
      </c>
      <c r="F37" s="30">
        <f>COUNTIF(Calc!$F$6:$F$65,"R")</f>
        <v>3</v>
      </c>
      <c r="G37" s="31">
        <f t="shared" si="2"/>
        <v>0.16666666666666666</v>
      </c>
    </row>
    <row r="38" spans="2:14" x14ac:dyDescent="0.45">
      <c r="B38" s="29" t="s">
        <v>73</v>
      </c>
      <c r="C38" s="30">
        <f>COUNTIF(Calc!$G$6:$G$65,"G")+COUNTIF(Calc!$G$6:$G$65,"A")+COUNTIF(Calc!$G$6:$G$65,"R")</f>
        <v>24</v>
      </c>
      <c r="D38" s="30">
        <f>COUNTIF(Calc!$G$6:$G$65,"G")</f>
        <v>7</v>
      </c>
      <c r="E38" s="30">
        <f>COUNTIF(Calc!$G$6:$G$65,"A")</f>
        <v>14</v>
      </c>
      <c r="F38" s="30">
        <f>COUNTIF(Calc!$G$6:$G$65,"R")</f>
        <v>3</v>
      </c>
      <c r="G38" s="31">
        <f t="shared" si="2"/>
        <v>0.29166666666666669</v>
      </c>
    </row>
    <row r="39" spans="2:14" x14ac:dyDescent="0.45">
      <c r="B39" s="29" t="s">
        <v>74</v>
      </c>
      <c r="C39" s="30">
        <f>COUNTIF(Calc!$H$6:$H$65,"G")+COUNTIF(Calc!$H$6:$H$65,"A")+COUNTIF(Calc!$H$6:$H$65,"R")</f>
        <v>24</v>
      </c>
      <c r="D39" s="30">
        <f>COUNTIF(Calc!$H$6:$H$65,"G")</f>
        <v>6</v>
      </c>
      <c r="E39" s="30">
        <f>COUNTIF(Calc!$H$6:$H$65,"A")</f>
        <v>15</v>
      </c>
      <c r="F39" s="30">
        <f>COUNTIF(Calc!$H$6:$H$65,"R")</f>
        <v>3</v>
      </c>
      <c r="G39" s="31">
        <f t="shared" si="2"/>
        <v>0.25</v>
      </c>
    </row>
    <row r="40" spans="2:14" x14ac:dyDescent="0.45">
      <c r="B40" s="29" t="s">
        <v>75</v>
      </c>
      <c r="C40" s="30">
        <f>COUNTIF(Calc!$I$6:$I$65,"G")+COUNTIF(Calc!$I$6:$I$65,"A")+COUNTIF(Calc!$I$6:$I$65,"R")</f>
        <v>24</v>
      </c>
      <c r="D40" s="30">
        <f>COUNTIF(Calc!$I$6:$I$65,"G")</f>
        <v>6</v>
      </c>
      <c r="E40" s="30">
        <f>COUNTIF(Calc!$I$6:$I$65,"A")</f>
        <v>13</v>
      </c>
      <c r="F40" s="30">
        <f>COUNTIF(Calc!$I$6:$I$65,"R")</f>
        <v>5</v>
      </c>
      <c r="G40" s="31">
        <f t="shared" si="2"/>
        <v>0.25</v>
      </c>
    </row>
    <row r="41" spans="2:14" x14ac:dyDescent="0.45">
      <c r="B41" s="29" t="s">
        <v>76</v>
      </c>
      <c r="C41" s="30">
        <f>COUNTIF(Calc!$J$6:$J$65,"G")+COUNTIF(Calc!$J$6:$J$65,"A")+COUNTIF(Calc!$J$6:$J$65,"R")</f>
        <v>24</v>
      </c>
      <c r="D41" s="30">
        <f>COUNTIF(Calc!$J$6:$J$65,"G")</f>
        <v>10</v>
      </c>
      <c r="E41" s="30">
        <f>COUNTIF(Calc!$J$6:$J$65,"A")</f>
        <v>8</v>
      </c>
      <c r="F41" s="30">
        <f>COUNTIF(Calc!$J$6:$J$65,"R")</f>
        <v>6</v>
      </c>
      <c r="G41" s="31">
        <f t="shared" si="2"/>
        <v>0.41666666666666669</v>
      </c>
    </row>
    <row r="42" spans="2:14" x14ac:dyDescent="0.45">
      <c r="B42" s="29" t="s">
        <v>77</v>
      </c>
      <c r="C42" s="30">
        <f>COUNTIF(Calc!$K$6:$K$65,"G")+COUNTIF(Calc!$K$6:$K$65,"A")+COUNTIF(Calc!$K$6:$K$65,"R")</f>
        <v>0</v>
      </c>
      <c r="D42" s="30">
        <f>COUNTIF(Calc!$K$6:$K$65,"G")</f>
        <v>0</v>
      </c>
      <c r="E42" s="30">
        <f>COUNTIF(Calc!$K$6:$K$65,"A")</f>
        <v>0</v>
      </c>
      <c r="F42" s="30">
        <f>COUNTIF(Calc!$K$6:$K$65,"R")</f>
        <v>0</v>
      </c>
      <c r="G42" s="31">
        <f t="shared" si="2"/>
        <v>0</v>
      </c>
    </row>
    <row r="43" spans="2:14" x14ac:dyDescent="0.45">
      <c r="B43" s="29" t="s">
        <v>78</v>
      </c>
      <c r="C43" s="30">
        <f>COUNTIF(Calc!$L$6:$L$65,"G")+COUNTIF(Calc!$L$6:$L$65,"A")+COUNTIF(Calc!$L$6:$L$65,"R")</f>
        <v>0</v>
      </c>
      <c r="D43" s="30">
        <f>COUNTIF(Calc!$L$6:$L$65,"G")</f>
        <v>0</v>
      </c>
      <c r="E43" s="30">
        <f>COUNTIF(Calc!$L$6:$L$65,"A")</f>
        <v>0</v>
      </c>
      <c r="F43" s="30">
        <f>COUNTIF(Calc!$L$6:$L$65,"R")</f>
        <v>0</v>
      </c>
      <c r="G43" s="31">
        <f t="shared" si="2"/>
        <v>0</v>
      </c>
    </row>
    <row r="44" spans="2:14" x14ac:dyDescent="0.45">
      <c r="B44" s="29" t="s">
        <v>79</v>
      </c>
      <c r="C44" s="30">
        <f>COUNTIF(Calc!$M$6:$M$65,"G")+COUNTIF(Calc!$M$6:$M$65,"A")+COUNTIF(Calc!$M$6:$M$65,"R")</f>
        <v>0</v>
      </c>
      <c r="D44" s="30">
        <f>COUNTIF(Calc!$M$6:$M$65,"G")</f>
        <v>0</v>
      </c>
      <c r="E44" s="30">
        <f>COUNTIF(Calc!$M$6:$M$65,"A")</f>
        <v>0</v>
      </c>
      <c r="F44" s="30">
        <f>COUNTIF(Calc!$M$6:$M$65,"R")</f>
        <v>0</v>
      </c>
      <c r="G44" s="31">
        <f t="shared" si="2"/>
        <v>0</v>
      </c>
    </row>
    <row r="47" spans="2:14" ht="15.4" x14ac:dyDescent="0.45">
      <c r="B47" s="13" t="s">
        <v>80</v>
      </c>
    </row>
    <row r="48" spans="2:14" x14ac:dyDescent="0.45">
      <c r="B48" s="28" t="s">
        <v>81</v>
      </c>
      <c r="C48" s="7" t="s">
        <v>82</v>
      </c>
      <c r="D48" s="7"/>
      <c r="E48" s="28" t="s">
        <v>59</v>
      </c>
      <c r="F48" s="28" t="s">
        <v>83</v>
      </c>
      <c r="G48" s="28" t="s">
        <v>84</v>
      </c>
      <c r="H48" s="28" t="s">
        <v>85</v>
      </c>
      <c r="I48" s="28" t="s">
        <v>86</v>
      </c>
      <c r="J48" s="28" t="s">
        <v>39</v>
      </c>
      <c r="K48" s="7" t="s">
        <v>87</v>
      </c>
      <c r="L48" s="7"/>
      <c r="M48" s="7" t="s">
        <v>88</v>
      </c>
      <c r="N48" s="7"/>
    </row>
    <row r="49" spans="2:16" ht="25.5" customHeight="1" x14ac:dyDescent="0.45">
      <c r="B49" s="29" t="str">
        <f>IFERROR(INDEX(Tracker!$A$6:$A$65,MATCH(1,Tracker!$AD$6:$AD$65,0)),"")</f>
        <v>K05</v>
      </c>
      <c r="C49" s="6" t="str">
        <f>IFERROR(INDEX(Tracker!$C$6:$C$65,MATCH(1,Tracker!$AD$6:$AD$65,0)),"")</f>
        <v>Repeat customer rate</v>
      </c>
      <c r="D49" s="6"/>
      <c r="E49" s="15" t="str">
        <f>IFERROR(INDEX(Tracker!$D$6:$D$65,MATCH(1,Tracker!$AD$6:$AD$65,0)),"")</f>
        <v>Marketing and service</v>
      </c>
      <c r="F49" s="35" t="str">
        <f>IFERROR(INDEX(Tracker!$B$6:$B$65,MATCH(1,Tracker!$AD$6:$AD$65,0)),"")</f>
        <v>KPI</v>
      </c>
      <c r="G49" s="36">
        <f>IFERROR(INDEX(Tracker!$X$6:$X$65,MATCH(1,Tracker!$AD$6:$AD$65,0)),"")</f>
        <v>0.34</v>
      </c>
      <c r="H49" s="37">
        <f>IFERROR(INDEX(Tracker!$I$6:$I$65,MATCH(1,Tracker!$AD$6:$AD$65,0)),"")</f>
        <v>0.4</v>
      </c>
      <c r="I49" s="32" t="str">
        <f>IFERROR(INDEX(Tracker!$Z$6:$Z$65,MATCH(1,Tracker!$AD$6:$AD$65,0)),"")</f>
        <v>Red</v>
      </c>
      <c r="J49" s="15" t="str">
        <f>IFERROR(INDEX(Tracker!$AA$6:$AA$65,MATCH(1,Tracker!$AD$6:$AD$65,0)),"")</f>
        <v>Improving</v>
      </c>
      <c r="K49" s="6" t="str">
        <f>IFERROR(INDEX(Tracker!$G$6:$G$65,MATCH(1,Tracker!$AD$6:$AD$65,0)),"")</f>
        <v>Head of Marketing</v>
      </c>
      <c r="L49" s="6"/>
      <c r="M49" s="6" t="str">
        <f>IFERROR(IF(INDEX(Tracker!$AB$6:$AB$65,MATCH(1,Tracker!$AD$6:$AD$65,0))=0,"",INDEX(Tracker!$AB$6:$AB$65,MATCH(1,Tracker!$AD$6:$AD$65,0))),"")</f>
        <v>Loyalty offer relaunched in July. Moving the right way, still below 35%.</v>
      </c>
      <c r="N49" s="6"/>
      <c r="P49" s="38" t="str">
        <f>IFERROR(INDEX(Tracker!$K$6:$K$65,MATCH(1,Tracker!$AD$6:$AD$65,0)),"")</f>
        <v>%</v>
      </c>
    </row>
    <row r="50" spans="2:16" ht="25.5" customHeight="1" x14ac:dyDescent="0.45">
      <c r="B50" s="29" t="str">
        <f>IFERROR(INDEX(Tracker!$A$6:$A$65,MATCH(2,Tracker!$AD$6:$AD$65,0)),"")</f>
        <v>R04</v>
      </c>
      <c r="C50" s="6" t="str">
        <f>IFERROR(INDEX(Tracker!$C$6:$C$65,MATCH(2,Tracker!$AD$6:$AD$65,0)),"")</f>
        <v>Stock write-offs as % of sales</v>
      </c>
      <c r="D50" s="6"/>
      <c r="E50" s="15" t="str">
        <f>IFERROR(INDEX(Tracker!$D$6:$D$65,MATCH(2,Tracker!$AD$6:$AD$65,0)),"")</f>
        <v>Supply chain</v>
      </c>
      <c r="F50" s="35" t="str">
        <f>IFERROR(INDEX(Tracker!$B$6:$B$65,MATCH(2,Tracker!$AD$6:$AD$65,0)),"")</f>
        <v>KRI</v>
      </c>
      <c r="G50" s="36">
        <f>IFERROR(INDEX(Tracker!$X$6:$X$65,MATCH(2,Tracker!$AD$6:$AD$65,0)),"")</f>
        <v>8.9999999999999993E-3</v>
      </c>
      <c r="H50" s="37">
        <f>IFERROR(INDEX(Tracker!$I$6:$I$65,MATCH(2,Tracker!$AD$6:$AD$65,0)),"")</f>
        <v>5.0000000000000001E-3</v>
      </c>
      <c r="I50" s="32" t="str">
        <f>IFERROR(INDEX(Tracker!$Z$6:$Z$65,MATCH(2,Tracker!$AD$6:$AD$65,0)),"")</f>
        <v>Red</v>
      </c>
      <c r="J50" s="15" t="str">
        <f>IFERROR(INDEX(Tracker!$AA$6:$AA$65,MATCH(2,Tracker!$AD$6:$AD$65,0)),"")</f>
        <v>Flat</v>
      </c>
      <c r="K50" s="6" t="str">
        <f>IFERROR(INDEX(Tracker!$G$6:$G$65,MATCH(2,Tracker!$AD$6:$AD$65,0)),"")</f>
        <v>Head of Supply Chain</v>
      </c>
      <c r="L50" s="6"/>
      <c r="M50" s="6" t="str">
        <f>IFERROR(IF(INDEX(Tracker!$AB$6:$AB$65,MATCH(2,Tracker!$AD$6:$AD$65,0))=0,"",INDEX(Tracker!$AB$6:$AB$65,MATCH(2,Tracker!$AD$6:$AD$65,0))),"")</f>
        <v>Most write-offs in 6 stores. Date checks being retrained in October.</v>
      </c>
      <c r="N50" s="6"/>
      <c r="P50" s="38" t="str">
        <f>IFERROR(INDEX(Tracker!$K$6:$K$65,MATCH(2,Tracker!$AD$6:$AD$65,0)),"")</f>
        <v>%</v>
      </c>
    </row>
    <row r="51" spans="2:16" ht="25.5" customHeight="1" x14ac:dyDescent="0.45">
      <c r="B51" s="29" t="str">
        <f>IFERROR(INDEX(Tracker!$A$6:$A$65,MATCH(3,Tracker!$AD$6:$AD$65,0)),"")</f>
        <v>R01</v>
      </c>
      <c r="C51" s="6" t="str">
        <f>IFERROR(INDEX(Tracker!$C$6:$C$65,MATCH(3,Tracker!$AD$6:$AD$65,0)),"")</f>
        <v>Receivables over 90 days</v>
      </c>
      <c r="D51" s="6"/>
      <c r="E51" s="15" t="str">
        <f>IFERROR(INDEX(Tracker!$D$6:$D$65,MATCH(3,Tracker!$AD$6:$AD$65,0)),"")</f>
        <v>Finance</v>
      </c>
      <c r="F51" s="35" t="str">
        <f>IFERROR(INDEX(Tracker!$B$6:$B$65,MATCH(3,Tracker!$AD$6:$AD$65,0)),"")</f>
        <v>KRI</v>
      </c>
      <c r="G51" s="36">
        <f>IFERROR(INDEX(Tracker!$X$6:$X$65,MATCH(3,Tracker!$AD$6:$AD$65,0)),"")</f>
        <v>9.5000000000000001E-2</v>
      </c>
      <c r="H51" s="37">
        <f>IFERROR(INDEX(Tracker!$I$6:$I$65,MATCH(3,Tracker!$AD$6:$AD$65,0)),"")</f>
        <v>0.05</v>
      </c>
      <c r="I51" s="32" t="str">
        <f>IFERROR(INDEX(Tracker!$Z$6:$Z$65,MATCH(3,Tracker!$AD$6:$AD$65,0)),"")</f>
        <v>Red</v>
      </c>
      <c r="J51" s="15" t="str">
        <f>IFERROR(INDEX(Tracker!$AA$6:$AA$65,MATCH(3,Tracker!$AD$6:$AD$65,0)),"")</f>
        <v>Worsening</v>
      </c>
      <c r="K51" s="6" t="str">
        <f>IFERROR(INDEX(Tracker!$G$6:$G$65,MATCH(3,Tracker!$AD$6:$AD$65,0)),"")</f>
        <v>Credit Manager</v>
      </c>
      <c r="L51" s="6"/>
      <c r="M51" s="6" t="str">
        <f>IFERROR(IF(INDEX(Tracker!$AB$6:$AB$65,MATCH(3,Tracker!$AD$6:$AD$65,0))=0,"",INDEX(Tracker!$AB$6:$AB$65,MATCH(3,Tracker!$AD$6:$AD$65,0))),"")</f>
        <v>Two large accounts behind. Credit stopped 4 Sep. CFO reviewing weekly.</v>
      </c>
      <c r="N51" s="6"/>
      <c r="P51" s="38" t="str">
        <f>IFERROR(INDEX(Tracker!$K$6:$K$65,MATCH(3,Tracker!$AD$6:$AD$65,0)),"")</f>
        <v>%</v>
      </c>
    </row>
    <row r="52" spans="2:16" ht="25.5" customHeight="1" x14ac:dyDescent="0.45">
      <c r="B52" s="29" t="str">
        <f>IFERROR(INDEX(Tracker!$A$6:$A$65,MATCH(4,Tracker!$AD$6:$AD$65,0)),"")</f>
        <v>K12</v>
      </c>
      <c r="C52" s="6" t="str">
        <f>IFERROR(INDEX(Tracker!$C$6:$C$65,MATCH(4,Tracker!$AD$6:$AD$65,0)),"")</f>
        <v>Staff turnover (rolling 12 months)</v>
      </c>
      <c r="D52" s="6"/>
      <c r="E52" s="15" t="str">
        <f>IFERROR(INDEX(Tracker!$D$6:$D$65,MATCH(4,Tracker!$AD$6:$AD$65,0)),"")</f>
        <v>People (HR)</v>
      </c>
      <c r="F52" s="35" t="str">
        <f>IFERROR(INDEX(Tracker!$B$6:$B$65,MATCH(4,Tracker!$AD$6:$AD$65,0)),"")</f>
        <v>KPI</v>
      </c>
      <c r="G52" s="36">
        <f>IFERROR(INDEX(Tracker!$X$6:$X$65,MATCH(4,Tracker!$AD$6:$AD$65,0)),"")</f>
        <v>0.245</v>
      </c>
      <c r="H52" s="37">
        <f>IFERROR(INDEX(Tracker!$I$6:$I$65,MATCH(4,Tracker!$AD$6:$AD$65,0)),"")</f>
        <v>0.2</v>
      </c>
      <c r="I52" s="32" t="str">
        <f>IFERROR(INDEX(Tracker!$Z$6:$Z$65,MATCH(4,Tracker!$AD$6:$AD$65,0)),"")</f>
        <v>Red</v>
      </c>
      <c r="J52" s="15" t="str">
        <f>IFERROR(INDEX(Tracker!$AA$6:$AA$65,MATCH(4,Tracker!$AD$6:$AD$65,0)),"")</f>
        <v>Flat</v>
      </c>
      <c r="K52" s="6" t="str">
        <f>IFERROR(INDEX(Tracker!$G$6:$G$65,MATCH(4,Tracker!$AD$6:$AD$65,0)),"")</f>
        <v>HR Director</v>
      </c>
      <c r="L52" s="6"/>
      <c r="M52" s="6" t="str">
        <f>IFERROR(IF(INDEX(Tracker!$AB$6:$AB$65,MATCH(4,Tracker!$AD$6:$AD$65,0))=0,"",INDEX(Tracker!$AB$6:$AB$65,MATCH(4,Tracker!$AD$6:$AD$65,0))),"")</f>
        <v>Exit interviews point to store manager rota. Fix agreed, starts November.</v>
      </c>
      <c r="N52" s="6"/>
      <c r="P52" s="38" t="str">
        <f>IFERROR(INDEX(Tracker!$K$6:$K$65,MATCH(4,Tracker!$AD$6:$AD$65,0)),"")</f>
        <v>%</v>
      </c>
    </row>
    <row r="53" spans="2:16" ht="25.5" customHeight="1" x14ac:dyDescent="0.45">
      <c r="B53" s="29" t="str">
        <f>IFERROR(INDEX(Tracker!$A$6:$A$65,MATCH(5,Tracker!$AD$6:$AD$65,0)),"")</f>
        <v>R09</v>
      </c>
      <c r="C53" s="6" t="str">
        <f>IFERROR(INDEX(Tracker!$C$6:$C$65,MATCH(5,Tracker!$AD$6:$AD$65,0)),"")</f>
        <v>Audit actions past due date</v>
      </c>
      <c r="D53" s="6"/>
      <c r="E53" s="15" t="str">
        <f>IFERROR(INDEX(Tracker!$D$6:$D$65,MATCH(5,Tracker!$AD$6:$AD$65,0)),"")</f>
        <v>Risk and compliance</v>
      </c>
      <c r="F53" s="35" t="str">
        <f>IFERROR(INDEX(Tracker!$B$6:$B$65,MATCH(5,Tracker!$AD$6:$AD$65,0)),"")</f>
        <v>KRI</v>
      </c>
      <c r="G53" s="39">
        <f>IFERROR(INDEX(Tracker!$X$6:$X$65,MATCH(5,Tracker!$AD$6:$AD$65,0)),"")</f>
        <v>9</v>
      </c>
      <c r="H53" s="30">
        <f>IFERROR(INDEX(Tracker!$I$6:$I$65,MATCH(5,Tracker!$AD$6:$AD$65,0)),"")</f>
        <v>2</v>
      </c>
      <c r="I53" s="32" t="str">
        <f>IFERROR(INDEX(Tracker!$Z$6:$Z$65,MATCH(5,Tracker!$AD$6:$AD$65,0)),"")</f>
        <v>Red</v>
      </c>
      <c r="J53" s="15" t="str">
        <f>IFERROR(INDEX(Tracker!$AA$6:$AA$65,MATCH(5,Tracker!$AD$6:$AD$65,0)),"")</f>
        <v>Worsening</v>
      </c>
      <c r="K53" s="6" t="str">
        <f>IFERROR(INDEX(Tracker!$G$6:$G$65,MATCH(5,Tracker!$AD$6:$AD$65,0)),"")</f>
        <v>Chief Risk Officer</v>
      </c>
      <c r="L53" s="6"/>
      <c r="M53" s="6" t="str">
        <f>IFERROR(IF(INDEX(Tracker!$AB$6:$AB$65,MATCH(5,Tracker!$AD$6:$AD$65,0))=0,"",INDEX(Tracker!$AB$6:$AB$65,MATCH(5,Tracker!$AD$6:$AD$65,0))),"")</f>
        <v>Owners to present new dates at the October Audit Committee.</v>
      </c>
      <c r="N53" s="6"/>
      <c r="P53" s="38" t="str">
        <f>IFERROR(INDEX(Tracker!$K$6:$K$65,MATCH(5,Tracker!$AD$6:$AD$65,0)),"")</f>
        <v>Number</v>
      </c>
    </row>
    <row r="54" spans="2:16" ht="25.5" customHeight="1" x14ac:dyDescent="0.45">
      <c r="B54" s="29" t="str">
        <f>IFERROR(INDEX(Tracker!$A$6:$A$65,MATCH(6,Tracker!$AD$6:$AD$65,0)),"")</f>
        <v>R10</v>
      </c>
      <c r="C54" s="6" t="str">
        <f>IFERROR(INDEX(Tracker!$C$6:$C$65,MATCH(6,Tracker!$AD$6:$AD$65,0)),"")</f>
        <v>Customer complaints to the regulator</v>
      </c>
      <c r="D54" s="6"/>
      <c r="E54" s="15" t="str">
        <f>IFERROR(INDEX(Tracker!$D$6:$D$65,MATCH(6,Tracker!$AD$6:$AD$65,0)),"")</f>
        <v>Risk and compliance</v>
      </c>
      <c r="F54" s="35" t="str">
        <f>IFERROR(INDEX(Tracker!$B$6:$B$65,MATCH(6,Tracker!$AD$6:$AD$65,0)),"")</f>
        <v>KRI</v>
      </c>
      <c r="G54" s="39">
        <f>IFERROR(INDEX(Tracker!$X$6:$X$65,MATCH(6,Tracker!$AD$6:$AD$65,0)),"")</f>
        <v>4</v>
      </c>
      <c r="H54" s="30">
        <f>IFERROR(INDEX(Tracker!$I$6:$I$65,MATCH(6,Tracker!$AD$6:$AD$65,0)),"")</f>
        <v>1</v>
      </c>
      <c r="I54" s="32" t="str">
        <f>IFERROR(INDEX(Tracker!$Z$6:$Z$65,MATCH(6,Tracker!$AD$6:$AD$65,0)),"")</f>
        <v>Red</v>
      </c>
      <c r="J54" s="15" t="str">
        <f>IFERROR(INDEX(Tracker!$AA$6:$AA$65,MATCH(6,Tracker!$AD$6:$AD$65,0)),"")</f>
        <v>Worsening</v>
      </c>
      <c r="K54" s="6" t="str">
        <f>IFERROR(INDEX(Tracker!$G$6:$G$65,MATCH(6,Tracker!$AD$6:$AD$65,0)),"")</f>
        <v>Chief Risk Officer</v>
      </c>
      <c r="L54" s="6"/>
      <c r="M54" s="6" t="str">
        <f>IFERROR(IF(INDEX(Tracker!$AB$6:$AB$65,MATCH(6,Tracker!$AD$6:$AD$65,0))=0,"",INDEX(Tracker!$AB$6:$AB$65,MATCH(6,Tracker!$AD$6:$AD$65,0))),"")</f>
        <v>Two of the four cases are about refunds. Linked to R11.</v>
      </c>
      <c r="N54" s="6"/>
      <c r="P54" s="38" t="str">
        <f>IFERROR(INDEX(Tracker!$K$6:$K$65,MATCH(6,Tracker!$AD$6:$AD$65,0)),"")</f>
        <v>Number</v>
      </c>
    </row>
    <row r="55" spans="2:16" ht="25.5" customHeight="1" x14ac:dyDescent="0.45">
      <c r="B55" s="29" t="str">
        <f>IFERROR(INDEX(Tracker!$A$6:$A$65,MATCH(7,Tracker!$AD$6:$AD$65,0)),"")</f>
        <v>K01</v>
      </c>
      <c r="C55" s="6" t="str">
        <f>IFERROR(INDEX(Tracker!$C$6:$C$65,MATCH(7,Tracker!$AD$6:$AD$65,0)),"")</f>
        <v>Online share of sales</v>
      </c>
      <c r="D55" s="6"/>
      <c r="E55" s="15" t="str">
        <f>IFERROR(INDEX(Tracker!$D$6:$D$65,MATCH(7,Tracker!$AD$6:$AD$65,0)),"")</f>
        <v>Sales and e-commerce</v>
      </c>
      <c r="F55" s="35" t="str">
        <f>IFERROR(INDEX(Tracker!$B$6:$B$65,MATCH(7,Tracker!$AD$6:$AD$65,0)),"")</f>
        <v>KPI</v>
      </c>
      <c r="G55" s="36">
        <f>IFERROR(INDEX(Tracker!$X$6:$X$65,MATCH(7,Tracker!$AD$6:$AD$65,0)),"")</f>
        <v>0.17799999999999999</v>
      </c>
      <c r="H55" s="37">
        <f>IFERROR(INDEX(Tracker!$I$6:$I$65,MATCH(7,Tracker!$AD$6:$AD$65,0)),"")</f>
        <v>0.2</v>
      </c>
      <c r="I55" s="32" t="str">
        <f>IFERROR(INDEX(Tracker!$Z$6:$Z$65,MATCH(7,Tracker!$AD$6:$AD$65,0)),"")</f>
        <v>Amber</v>
      </c>
      <c r="J55" s="15" t="str">
        <f>IFERROR(INDEX(Tracker!$AA$6:$AA$65,MATCH(7,Tracker!$AD$6:$AD$65,0)),"")</f>
        <v>Improving</v>
      </c>
      <c r="K55" s="6" t="str">
        <f>IFERROR(INDEX(Tracker!$G$6:$G$65,MATCH(7,Tracker!$AD$6:$AD$65,0)),"")</f>
        <v>Head of E-commerce</v>
      </c>
      <c r="L55" s="6"/>
      <c r="M55" s="6" t="str">
        <f>IFERROR(IF(INDEX(Tracker!$AB$6:$AB$65,MATCH(7,Tracker!$AD$6:$AD$65,0))=0,"",INDEX(Tracker!$AB$6:$AB$65,MATCH(7,Tracker!$AD$6:$AD$65,0))),"")</f>
        <v/>
      </c>
      <c r="N55" s="6"/>
      <c r="P55" s="38" t="str">
        <f>IFERROR(INDEX(Tracker!$K$6:$K$65,MATCH(7,Tracker!$AD$6:$AD$65,0)),"")</f>
        <v>%</v>
      </c>
    </row>
    <row r="56" spans="2:16" ht="25.5" customHeight="1" x14ac:dyDescent="0.45">
      <c r="B56" s="29" t="str">
        <f>IFERROR(INDEX(Tracker!$A$6:$A$65,MATCH(8,Tracker!$AD$6:$AD$65,0)),"")</f>
        <v>R11</v>
      </c>
      <c r="C56" s="6" t="str">
        <f>IFERROR(INDEX(Tracker!$C$6:$C$65,MATCH(8,Tracker!$AD$6:$AD$65,0)),"")</f>
        <v>Online refund rate</v>
      </c>
      <c r="D56" s="6"/>
      <c r="E56" s="15" t="str">
        <f>IFERROR(INDEX(Tracker!$D$6:$D$65,MATCH(8,Tracker!$AD$6:$AD$65,0)),"")</f>
        <v>Sales and e-commerce</v>
      </c>
      <c r="F56" s="35" t="str">
        <f>IFERROR(INDEX(Tracker!$B$6:$B$65,MATCH(8,Tracker!$AD$6:$AD$65,0)),"")</f>
        <v>KRI</v>
      </c>
      <c r="G56" s="36">
        <f>IFERROR(INDEX(Tracker!$X$6:$X$65,MATCH(8,Tracker!$AD$6:$AD$65,0)),"")</f>
        <v>5.1999999999999998E-2</v>
      </c>
      <c r="H56" s="37">
        <f>IFERROR(INDEX(Tracker!$I$6:$I$65,MATCH(8,Tracker!$AD$6:$AD$65,0)),"")</f>
        <v>0.04</v>
      </c>
      <c r="I56" s="32" t="str">
        <f>IFERROR(INDEX(Tracker!$Z$6:$Z$65,MATCH(8,Tracker!$AD$6:$AD$65,0)),"")</f>
        <v>Amber</v>
      </c>
      <c r="J56" s="15" t="str">
        <f>IFERROR(INDEX(Tracker!$AA$6:$AA$65,MATCH(8,Tracker!$AD$6:$AD$65,0)),"")</f>
        <v>Worsening</v>
      </c>
      <c r="K56" s="6" t="str">
        <f>IFERROR(INDEX(Tracker!$G$6:$G$65,MATCH(8,Tracker!$AD$6:$AD$65,0)),"")</f>
        <v>Head of E-commerce</v>
      </c>
      <c r="L56" s="6"/>
      <c r="M56" s="6" t="str">
        <f>IFERROR(IF(INDEX(Tracker!$AB$6:$AB$65,MATCH(8,Tracker!$AD$6:$AD$65,0))=0,"",INDEX(Tracker!$AB$6:$AB$65,MATCH(8,Tracker!$AD$6:$AD$65,0))),"")</f>
        <v/>
      </c>
      <c r="N56" s="6"/>
      <c r="P56" s="38" t="str">
        <f>IFERROR(INDEX(Tracker!$K$6:$K$65,MATCH(8,Tracker!$AD$6:$AD$65,0)),"")</f>
        <v>%</v>
      </c>
    </row>
    <row r="57" spans="2:16" ht="25.5" customHeight="1" x14ac:dyDescent="0.45">
      <c r="B57" s="29" t="str">
        <f>IFERROR(INDEX(Tracker!$A$6:$A$65,MATCH(9,Tracker!$AD$6:$AD$65,0)),"")</f>
        <v>K07</v>
      </c>
      <c r="C57" s="6" t="str">
        <f>IFERROR(INDEX(Tracker!$C$6:$C$65,MATCH(9,Tracker!$AD$6:$AD$65,0)),"")</f>
        <v>First-contact resolution</v>
      </c>
      <c r="D57" s="6"/>
      <c r="E57" s="15" t="str">
        <f>IFERROR(INDEX(Tracker!$D$6:$D$65,MATCH(9,Tracker!$AD$6:$AD$65,0)),"")</f>
        <v>Marketing and service</v>
      </c>
      <c r="F57" s="35" t="str">
        <f>IFERROR(INDEX(Tracker!$B$6:$B$65,MATCH(9,Tracker!$AD$6:$AD$65,0)),"")</f>
        <v>KPI</v>
      </c>
      <c r="G57" s="36">
        <f>IFERROR(INDEX(Tracker!$X$6:$X$65,MATCH(9,Tracker!$AD$6:$AD$65,0)),"")</f>
        <v>0.76</v>
      </c>
      <c r="H57" s="37">
        <f>IFERROR(INDEX(Tracker!$I$6:$I$65,MATCH(9,Tracker!$AD$6:$AD$65,0)),"")</f>
        <v>0.8</v>
      </c>
      <c r="I57" s="32" t="str">
        <f>IFERROR(INDEX(Tracker!$Z$6:$Z$65,MATCH(9,Tracker!$AD$6:$AD$65,0)),"")</f>
        <v>Amber</v>
      </c>
      <c r="J57" s="15" t="str">
        <f>IFERROR(INDEX(Tracker!$AA$6:$AA$65,MATCH(9,Tracker!$AD$6:$AD$65,0)),"")</f>
        <v>Flat</v>
      </c>
      <c r="K57" s="6" t="str">
        <f>IFERROR(INDEX(Tracker!$G$6:$G$65,MATCH(9,Tracker!$AD$6:$AD$65,0)),"")</f>
        <v>Head of Customer Service</v>
      </c>
      <c r="L57" s="6"/>
      <c r="M57" s="6" t="str">
        <f>IFERROR(IF(INDEX(Tracker!$AB$6:$AB$65,MATCH(9,Tracker!$AD$6:$AD$65,0))=0,"",INDEX(Tracker!$AB$6:$AB$65,MATCH(9,Tracker!$AD$6:$AD$65,0))),"")</f>
        <v/>
      </c>
      <c r="N57" s="6"/>
      <c r="P57" s="38" t="str">
        <f>IFERROR(INDEX(Tracker!$K$6:$K$65,MATCH(9,Tracker!$AD$6:$AD$65,0)),"")</f>
        <v>%</v>
      </c>
    </row>
    <row r="58" spans="2:16" ht="25.5" customHeight="1" x14ac:dyDescent="0.45">
      <c r="B58" s="29" t="str">
        <f>IFERROR(INDEX(Tracker!$A$6:$A$65,MATCH(10,Tracker!$AD$6:$AD$65,0)),"")</f>
        <v>K09</v>
      </c>
      <c r="C58" s="6" t="str">
        <f>IFERROR(INDEX(Tracker!$C$6:$C$65,MATCH(10,Tracker!$AD$6:$AD$65,0)),"")</f>
        <v>Inventory days</v>
      </c>
      <c r="D58" s="6"/>
      <c r="E58" s="15" t="str">
        <f>IFERROR(INDEX(Tracker!$D$6:$D$65,MATCH(10,Tracker!$AD$6:$AD$65,0)),"")</f>
        <v>Supply chain</v>
      </c>
      <c r="F58" s="35" t="str">
        <f>IFERROR(INDEX(Tracker!$B$6:$B$65,MATCH(10,Tracker!$AD$6:$AD$65,0)),"")</f>
        <v>KPI</v>
      </c>
      <c r="G58" s="39">
        <f>IFERROR(INDEX(Tracker!$X$6:$X$65,MATCH(10,Tracker!$AD$6:$AD$65,0)),"")</f>
        <v>52</v>
      </c>
      <c r="H58" s="30">
        <f>IFERROR(INDEX(Tracker!$I$6:$I$65,MATCH(10,Tracker!$AD$6:$AD$65,0)),"")</f>
        <v>50</v>
      </c>
      <c r="I58" s="32" t="str">
        <f>IFERROR(INDEX(Tracker!$Z$6:$Z$65,MATCH(10,Tracker!$AD$6:$AD$65,0)),"")</f>
        <v>Amber</v>
      </c>
      <c r="J58" s="15" t="str">
        <f>IFERROR(INDEX(Tracker!$AA$6:$AA$65,MATCH(10,Tracker!$AD$6:$AD$65,0)),"")</f>
        <v>Improving</v>
      </c>
      <c r="K58" s="6" t="str">
        <f>IFERROR(INDEX(Tracker!$G$6:$G$65,MATCH(10,Tracker!$AD$6:$AD$65,0)),"")</f>
        <v>Head of Supply Chain</v>
      </c>
      <c r="L58" s="6"/>
      <c r="M58" s="6" t="str">
        <f>IFERROR(IF(INDEX(Tracker!$AB$6:$AB$65,MATCH(10,Tracker!$AD$6:$AD$65,0))=0,"",INDEX(Tracker!$AB$6:$AB$65,MATCH(10,Tracker!$AD$6:$AD$65,0))),"")</f>
        <v/>
      </c>
      <c r="N58" s="6"/>
      <c r="P58" s="38" t="str">
        <f>IFERROR(INDEX(Tracker!$K$6:$K$65,MATCH(10,Tracker!$AD$6:$AD$65,0)),"")</f>
        <v>Days</v>
      </c>
    </row>
    <row r="59" spans="2:16" ht="25.5" customHeight="1" x14ac:dyDescent="0.45">
      <c r="B59" s="29" t="str">
        <f>IFERROR(INDEX(Tracker!$A$6:$A$65,MATCH(11,Tracker!$AD$6:$AD$65,0)),"")</f>
        <v>K11</v>
      </c>
      <c r="C59" s="6" t="str">
        <f>IFERROR(INDEX(Tracker!$C$6:$C$65,MATCH(11,Tracker!$AD$6:$AD$65,0)),"")</f>
        <v>Operating cost as % of sales</v>
      </c>
      <c r="D59" s="6"/>
      <c r="E59" s="15" t="str">
        <f>IFERROR(INDEX(Tracker!$D$6:$D$65,MATCH(11,Tracker!$AD$6:$AD$65,0)),"")</f>
        <v>Finance</v>
      </c>
      <c r="F59" s="35" t="str">
        <f>IFERROR(INDEX(Tracker!$B$6:$B$65,MATCH(11,Tracker!$AD$6:$AD$65,0)),"")</f>
        <v>KPI</v>
      </c>
      <c r="G59" s="36">
        <f>IFERROR(INDEX(Tracker!$X$6:$X$65,MATCH(11,Tracker!$AD$6:$AD$65,0)),"")</f>
        <v>0.23200000000000001</v>
      </c>
      <c r="H59" s="37">
        <f>IFERROR(INDEX(Tracker!$I$6:$I$65,MATCH(11,Tracker!$AD$6:$AD$65,0)),"")</f>
        <v>0.22</v>
      </c>
      <c r="I59" s="32" t="str">
        <f>IFERROR(INDEX(Tracker!$Z$6:$Z$65,MATCH(11,Tracker!$AD$6:$AD$65,0)),"")</f>
        <v>Amber</v>
      </c>
      <c r="J59" s="15" t="str">
        <f>IFERROR(INDEX(Tracker!$AA$6:$AA$65,MATCH(11,Tracker!$AD$6:$AD$65,0)),"")</f>
        <v>Improving</v>
      </c>
      <c r="K59" s="6" t="str">
        <f>IFERROR(INDEX(Tracker!$G$6:$G$65,MATCH(11,Tracker!$AD$6:$AD$65,0)),"")</f>
        <v>CFO</v>
      </c>
      <c r="L59" s="6"/>
      <c r="M59" s="6" t="str">
        <f>IFERROR(IF(INDEX(Tracker!$AB$6:$AB$65,MATCH(11,Tracker!$AD$6:$AD$65,0))=0,"",INDEX(Tracker!$AB$6:$AB$65,MATCH(11,Tracker!$AD$6:$AD$65,0))),"")</f>
        <v/>
      </c>
      <c r="N59" s="6"/>
      <c r="P59" s="38" t="str">
        <f>IFERROR(INDEX(Tracker!$K$6:$K$65,MATCH(11,Tracker!$AD$6:$AD$65,0)),"")</f>
        <v>%</v>
      </c>
    </row>
    <row r="60" spans="2:16" ht="25.5" customHeight="1" x14ac:dyDescent="0.45">
      <c r="B60" s="29" t="str">
        <f>IFERROR(INDEX(Tracker!$A$6:$A$65,MATCH(12,Tracker!$AD$6:$AD$65,0)),"")</f>
        <v>R02</v>
      </c>
      <c r="C60" s="6" t="str">
        <f>IFERROR(INDEX(Tracker!$C$6:$C$65,MATCH(12,Tracker!$AD$6:$AD$65,0)),"")</f>
        <v>Months of cash cover</v>
      </c>
      <c r="D60" s="6"/>
      <c r="E60" s="15" t="str">
        <f>IFERROR(INDEX(Tracker!$D$6:$D$65,MATCH(12,Tracker!$AD$6:$AD$65,0)),"")</f>
        <v>Finance</v>
      </c>
      <c r="F60" s="35" t="str">
        <f>IFERROR(INDEX(Tracker!$B$6:$B$65,MATCH(12,Tracker!$AD$6:$AD$65,0)),"")</f>
        <v>KRI</v>
      </c>
      <c r="G60" s="40">
        <f>IFERROR(INDEX(Tracker!$X$6:$X$65,MATCH(12,Tracker!$AD$6:$AD$65,0)),"")</f>
        <v>2.6</v>
      </c>
      <c r="H60" s="41">
        <f>IFERROR(INDEX(Tracker!$I$6:$I$65,MATCH(12,Tracker!$AD$6:$AD$65,0)),"")</f>
        <v>3</v>
      </c>
      <c r="I60" s="32" t="str">
        <f>IFERROR(INDEX(Tracker!$Z$6:$Z$65,MATCH(12,Tracker!$AD$6:$AD$65,0)),"")</f>
        <v>Amber</v>
      </c>
      <c r="J60" s="15" t="str">
        <f>IFERROR(INDEX(Tracker!$AA$6:$AA$65,MATCH(12,Tracker!$AD$6:$AD$65,0)),"")</f>
        <v>Flat</v>
      </c>
      <c r="K60" s="6" t="str">
        <f>IFERROR(INDEX(Tracker!$G$6:$G$65,MATCH(12,Tracker!$AD$6:$AD$65,0)),"")</f>
        <v>CFO</v>
      </c>
      <c r="L60" s="6"/>
      <c r="M60" s="6" t="str">
        <f>IFERROR(IF(INDEX(Tracker!$AB$6:$AB$65,MATCH(12,Tracker!$AD$6:$AD$65,0))=0,"",INDEX(Tracker!$AB$6:$AB$65,MATCH(12,Tracker!$AD$6:$AD$65,0))),"")</f>
        <v/>
      </c>
      <c r="N60" s="6"/>
      <c r="P60" s="38" t="str">
        <f>IFERROR(INDEX(Tracker!$K$6:$K$65,MATCH(12,Tracker!$AD$6:$AD$65,0)),"")</f>
        <v>Months</v>
      </c>
    </row>
    <row r="61" spans="2:16" ht="25.5" customHeight="1" x14ac:dyDescent="0.45">
      <c r="B61" s="29" t="str">
        <f>IFERROR(INDEX(Tracker!$A$6:$A$65,MATCH(13,Tracker!$AD$6:$AD$65,0)),"")</f>
        <v>K13</v>
      </c>
      <c r="C61" s="6" t="str">
        <f>IFERROR(INDEX(Tracker!$C$6:$C$65,MATCH(13,Tracker!$AD$6:$AD$65,0)),"")</f>
        <v>Time to hire</v>
      </c>
      <c r="D61" s="6"/>
      <c r="E61" s="15" t="str">
        <f>IFERROR(INDEX(Tracker!$D$6:$D$65,MATCH(13,Tracker!$AD$6:$AD$65,0)),"")</f>
        <v>People (HR)</v>
      </c>
      <c r="F61" s="35" t="str">
        <f>IFERROR(INDEX(Tracker!$B$6:$B$65,MATCH(13,Tracker!$AD$6:$AD$65,0)),"")</f>
        <v>KPI</v>
      </c>
      <c r="G61" s="39">
        <f>IFERROR(INDEX(Tracker!$X$6:$X$65,MATCH(13,Tracker!$AD$6:$AD$65,0)),"")</f>
        <v>41</v>
      </c>
      <c r="H61" s="30">
        <f>IFERROR(INDEX(Tracker!$I$6:$I$65,MATCH(13,Tracker!$AD$6:$AD$65,0)),"")</f>
        <v>35</v>
      </c>
      <c r="I61" s="32" t="str">
        <f>IFERROR(INDEX(Tracker!$Z$6:$Z$65,MATCH(13,Tracker!$AD$6:$AD$65,0)),"")</f>
        <v>Amber</v>
      </c>
      <c r="J61" s="15" t="str">
        <f>IFERROR(INDEX(Tracker!$AA$6:$AA$65,MATCH(13,Tracker!$AD$6:$AD$65,0)),"")</f>
        <v>Improving</v>
      </c>
      <c r="K61" s="6" t="str">
        <f>IFERROR(INDEX(Tracker!$G$6:$G$65,MATCH(13,Tracker!$AD$6:$AD$65,0)),"")</f>
        <v>HR Director</v>
      </c>
      <c r="L61" s="6"/>
      <c r="M61" s="6" t="str">
        <f>IFERROR(IF(INDEX(Tracker!$AB$6:$AB$65,MATCH(13,Tracker!$AD$6:$AD$65,0))=0,"",INDEX(Tracker!$AB$6:$AB$65,MATCH(13,Tracker!$AD$6:$AD$65,0))),"")</f>
        <v/>
      </c>
      <c r="N61" s="6"/>
      <c r="P61" s="38" t="str">
        <f>IFERROR(INDEX(Tracker!$K$6:$K$65,MATCH(13,Tracker!$AD$6:$AD$65,0)),"")</f>
        <v>Days</v>
      </c>
    </row>
    <row r="62" spans="2:16" ht="25.5" customHeight="1" x14ac:dyDescent="0.45">
      <c r="B62" s="29" t="str">
        <f>IFERROR(INDEX(Tracker!$A$6:$A$65,MATCH(14,Tracker!$AD$6:$AD$65,0)),"")</f>
        <v>R07</v>
      </c>
      <c r="C62" s="6" t="str">
        <f>IFERROR(INDEX(Tracker!$C$6:$C$65,MATCH(14,Tracker!$AD$6:$AD$65,0)),"")</f>
        <v>Phishing test click rate</v>
      </c>
      <c r="D62" s="6"/>
      <c r="E62" s="15" t="str">
        <f>IFERROR(INDEX(Tracker!$D$6:$D$65,MATCH(14,Tracker!$AD$6:$AD$65,0)),"")</f>
        <v>IT</v>
      </c>
      <c r="F62" s="35" t="str">
        <f>IFERROR(INDEX(Tracker!$B$6:$B$65,MATCH(14,Tracker!$AD$6:$AD$65,0)),"")</f>
        <v>KRI</v>
      </c>
      <c r="G62" s="36">
        <f>IFERROR(INDEX(Tracker!$X$6:$X$65,MATCH(14,Tracker!$AD$6:$AD$65,0)),"")</f>
        <v>0.06</v>
      </c>
      <c r="H62" s="37">
        <f>IFERROR(INDEX(Tracker!$I$6:$I$65,MATCH(14,Tracker!$AD$6:$AD$65,0)),"")</f>
        <v>0.05</v>
      </c>
      <c r="I62" s="32" t="str">
        <f>IFERROR(INDEX(Tracker!$Z$6:$Z$65,MATCH(14,Tracker!$AD$6:$AD$65,0)),"")</f>
        <v>Amber</v>
      </c>
      <c r="J62" s="15" t="str">
        <f>IFERROR(INDEX(Tracker!$AA$6:$AA$65,MATCH(14,Tracker!$AD$6:$AD$65,0)),"")</f>
        <v>Flat</v>
      </c>
      <c r="K62" s="6" t="str">
        <f>IFERROR(INDEX(Tracker!$G$6:$G$65,MATCH(14,Tracker!$AD$6:$AD$65,0)),"")</f>
        <v>Head of IT</v>
      </c>
      <c r="L62" s="6"/>
      <c r="M62" s="6" t="str">
        <f>IFERROR(IF(INDEX(Tracker!$AB$6:$AB$65,MATCH(14,Tracker!$AD$6:$AD$65,0))=0,"",INDEX(Tracker!$AB$6:$AB$65,MATCH(14,Tracker!$AD$6:$AD$65,0))),"")</f>
        <v/>
      </c>
      <c r="N62" s="6"/>
      <c r="P62" s="38" t="str">
        <f>IFERROR(INDEX(Tracker!$K$6:$K$65,MATCH(14,Tracker!$AD$6:$AD$65,0)),"")</f>
        <v>%</v>
      </c>
    </row>
    <row r="63" spans="2:16" ht="25.5" customHeight="1" x14ac:dyDescent="0.45">
      <c r="B63" s="29" t="str">
        <f>IFERROR(INDEX(Tracker!$A$6:$A$65,MATCH(15,Tracker!$AD$6:$AD$65,0)),"")</f>
        <v/>
      </c>
      <c r="C63" s="6" t="str">
        <f>IFERROR(INDEX(Tracker!$C$6:$C$65,MATCH(15,Tracker!$AD$6:$AD$65,0)),"")</f>
        <v/>
      </c>
      <c r="D63" s="6"/>
      <c r="E63" s="15" t="str">
        <f>IFERROR(INDEX(Tracker!$D$6:$D$65,MATCH(15,Tracker!$AD$6:$AD$65,0)),"")</f>
        <v/>
      </c>
      <c r="F63" s="35" t="str">
        <f>IFERROR(INDEX(Tracker!$B$6:$B$65,MATCH(15,Tracker!$AD$6:$AD$65,0)),"")</f>
        <v/>
      </c>
      <c r="G63" s="32" t="str">
        <f>IFERROR(INDEX(Tracker!$X$6:$X$65,MATCH(15,Tracker!$AD$6:$AD$65,0)),"")</f>
        <v/>
      </c>
      <c r="H63" s="35" t="str">
        <f>IFERROR(INDEX(Tracker!$I$6:$I$65,MATCH(15,Tracker!$AD$6:$AD$65,0)),"")</f>
        <v/>
      </c>
      <c r="I63" s="32" t="str">
        <f>IFERROR(INDEX(Tracker!$Z$6:$Z$65,MATCH(15,Tracker!$AD$6:$AD$65,0)),"")</f>
        <v/>
      </c>
      <c r="J63" s="15" t="str">
        <f>IFERROR(INDEX(Tracker!$AA$6:$AA$65,MATCH(15,Tracker!$AD$6:$AD$65,0)),"")</f>
        <v/>
      </c>
      <c r="K63" s="6" t="str">
        <f>IFERROR(INDEX(Tracker!$G$6:$G$65,MATCH(15,Tracker!$AD$6:$AD$65,0)),"")</f>
        <v/>
      </c>
      <c r="L63" s="6"/>
      <c r="M63" s="6" t="str">
        <f>IFERROR(IF(INDEX(Tracker!$AB$6:$AB$65,MATCH(15,Tracker!$AD$6:$AD$65,0))=0,"",INDEX(Tracker!$AB$6:$AB$65,MATCH(15,Tracker!$AD$6:$AD$65,0))),"")</f>
        <v/>
      </c>
      <c r="N63" s="6"/>
      <c r="P63" s="38" t="str">
        <f>IFERROR(INDEX(Tracker!$K$6:$K$65,MATCH(15,Tracker!$AD$6:$AD$65,0)),"")</f>
        <v/>
      </c>
    </row>
    <row r="64" spans="2:16" ht="25.5" customHeight="1" x14ac:dyDescent="0.45">
      <c r="B64" s="29" t="str">
        <f>IFERROR(INDEX(Tracker!$A$6:$A$65,MATCH(16,Tracker!$AD$6:$AD$65,0)),"")</f>
        <v/>
      </c>
      <c r="C64" s="6" t="str">
        <f>IFERROR(INDEX(Tracker!$C$6:$C$65,MATCH(16,Tracker!$AD$6:$AD$65,0)),"")</f>
        <v/>
      </c>
      <c r="D64" s="6"/>
      <c r="E64" s="15" t="str">
        <f>IFERROR(INDEX(Tracker!$D$6:$D$65,MATCH(16,Tracker!$AD$6:$AD$65,0)),"")</f>
        <v/>
      </c>
      <c r="F64" s="35" t="str">
        <f>IFERROR(INDEX(Tracker!$B$6:$B$65,MATCH(16,Tracker!$AD$6:$AD$65,0)),"")</f>
        <v/>
      </c>
      <c r="G64" s="32" t="str">
        <f>IFERROR(INDEX(Tracker!$X$6:$X$65,MATCH(16,Tracker!$AD$6:$AD$65,0)),"")</f>
        <v/>
      </c>
      <c r="H64" s="35" t="str">
        <f>IFERROR(INDEX(Tracker!$I$6:$I$65,MATCH(16,Tracker!$AD$6:$AD$65,0)),"")</f>
        <v/>
      </c>
      <c r="I64" s="32" t="str">
        <f>IFERROR(INDEX(Tracker!$Z$6:$Z$65,MATCH(16,Tracker!$AD$6:$AD$65,0)),"")</f>
        <v/>
      </c>
      <c r="J64" s="15" t="str">
        <f>IFERROR(INDEX(Tracker!$AA$6:$AA$65,MATCH(16,Tracker!$AD$6:$AD$65,0)),"")</f>
        <v/>
      </c>
      <c r="K64" s="6" t="str">
        <f>IFERROR(INDEX(Tracker!$G$6:$G$65,MATCH(16,Tracker!$AD$6:$AD$65,0)),"")</f>
        <v/>
      </c>
      <c r="L64" s="6"/>
      <c r="M64" s="6" t="str">
        <f>IFERROR(IF(INDEX(Tracker!$AB$6:$AB$65,MATCH(16,Tracker!$AD$6:$AD$65,0))=0,"",INDEX(Tracker!$AB$6:$AB$65,MATCH(16,Tracker!$AD$6:$AD$65,0))),"")</f>
        <v/>
      </c>
      <c r="N64" s="6"/>
      <c r="P64" s="38" t="str">
        <f>IFERROR(INDEX(Tracker!$K$6:$K$65,MATCH(16,Tracker!$AD$6:$AD$65,0)),"")</f>
        <v/>
      </c>
    </row>
    <row r="65" spans="2:16" ht="25.5" customHeight="1" x14ac:dyDescent="0.45">
      <c r="B65" s="29" t="str">
        <f>IFERROR(INDEX(Tracker!$A$6:$A$65,MATCH(17,Tracker!$AD$6:$AD$65,0)),"")</f>
        <v/>
      </c>
      <c r="C65" s="6" t="str">
        <f>IFERROR(INDEX(Tracker!$C$6:$C$65,MATCH(17,Tracker!$AD$6:$AD$65,0)),"")</f>
        <v/>
      </c>
      <c r="D65" s="6"/>
      <c r="E65" s="15" t="str">
        <f>IFERROR(INDEX(Tracker!$D$6:$D$65,MATCH(17,Tracker!$AD$6:$AD$65,0)),"")</f>
        <v/>
      </c>
      <c r="F65" s="35" t="str">
        <f>IFERROR(INDEX(Tracker!$B$6:$B$65,MATCH(17,Tracker!$AD$6:$AD$65,0)),"")</f>
        <v/>
      </c>
      <c r="G65" s="32" t="str">
        <f>IFERROR(INDEX(Tracker!$X$6:$X$65,MATCH(17,Tracker!$AD$6:$AD$65,0)),"")</f>
        <v/>
      </c>
      <c r="H65" s="35" t="str">
        <f>IFERROR(INDEX(Tracker!$I$6:$I$65,MATCH(17,Tracker!$AD$6:$AD$65,0)),"")</f>
        <v/>
      </c>
      <c r="I65" s="32" t="str">
        <f>IFERROR(INDEX(Tracker!$Z$6:$Z$65,MATCH(17,Tracker!$AD$6:$AD$65,0)),"")</f>
        <v/>
      </c>
      <c r="J65" s="15" t="str">
        <f>IFERROR(INDEX(Tracker!$AA$6:$AA$65,MATCH(17,Tracker!$AD$6:$AD$65,0)),"")</f>
        <v/>
      </c>
      <c r="K65" s="6" t="str">
        <f>IFERROR(INDEX(Tracker!$G$6:$G$65,MATCH(17,Tracker!$AD$6:$AD$65,0)),"")</f>
        <v/>
      </c>
      <c r="L65" s="6"/>
      <c r="M65" s="6" t="str">
        <f>IFERROR(IF(INDEX(Tracker!$AB$6:$AB$65,MATCH(17,Tracker!$AD$6:$AD$65,0))=0,"",INDEX(Tracker!$AB$6:$AB$65,MATCH(17,Tracker!$AD$6:$AD$65,0))),"")</f>
        <v/>
      </c>
      <c r="N65" s="6"/>
      <c r="P65" s="38" t="str">
        <f>IFERROR(INDEX(Tracker!$K$6:$K$65,MATCH(17,Tracker!$AD$6:$AD$65,0)),"")</f>
        <v/>
      </c>
    </row>
    <row r="66" spans="2:16" ht="25.5" customHeight="1" x14ac:dyDescent="0.45">
      <c r="B66" s="29" t="str">
        <f>IFERROR(INDEX(Tracker!$A$6:$A$65,MATCH(18,Tracker!$AD$6:$AD$65,0)),"")</f>
        <v/>
      </c>
      <c r="C66" s="6" t="str">
        <f>IFERROR(INDEX(Tracker!$C$6:$C$65,MATCH(18,Tracker!$AD$6:$AD$65,0)),"")</f>
        <v/>
      </c>
      <c r="D66" s="6"/>
      <c r="E66" s="15" t="str">
        <f>IFERROR(INDEX(Tracker!$D$6:$D$65,MATCH(18,Tracker!$AD$6:$AD$65,0)),"")</f>
        <v/>
      </c>
      <c r="F66" s="35" t="str">
        <f>IFERROR(INDEX(Tracker!$B$6:$B$65,MATCH(18,Tracker!$AD$6:$AD$65,0)),"")</f>
        <v/>
      </c>
      <c r="G66" s="32" t="str">
        <f>IFERROR(INDEX(Tracker!$X$6:$X$65,MATCH(18,Tracker!$AD$6:$AD$65,0)),"")</f>
        <v/>
      </c>
      <c r="H66" s="35" t="str">
        <f>IFERROR(INDEX(Tracker!$I$6:$I$65,MATCH(18,Tracker!$AD$6:$AD$65,0)),"")</f>
        <v/>
      </c>
      <c r="I66" s="32" t="str">
        <f>IFERROR(INDEX(Tracker!$Z$6:$Z$65,MATCH(18,Tracker!$AD$6:$AD$65,0)),"")</f>
        <v/>
      </c>
      <c r="J66" s="15" t="str">
        <f>IFERROR(INDEX(Tracker!$AA$6:$AA$65,MATCH(18,Tracker!$AD$6:$AD$65,0)),"")</f>
        <v/>
      </c>
      <c r="K66" s="6" t="str">
        <f>IFERROR(INDEX(Tracker!$G$6:$G$65,MATCH(18,Tracker!$AD$6:$AD$65,0)),"")</f>
        <v/>
      </c>
      <c r="L66" s="6"/>
      <c r="M66" s="6" t="str">
        <f>IFERROR(IF(INDEX(Tracker!$AB$6:$AB$65,MATCH(18,Tracker!$AD$6:$AD$65,0))=0,"",INDEX(Tracker!$AB$6:$AB$65,MATCH(18,Tracker!$AD$6:$AD$65,0))),"")</f>
        <v/>
      </c>
      <c r="N66" s="6"/>
      <c r="P66" s="38" t="str">
        <f>IFERROR(INDEX(Tracker!$K$6:$K$65,MATCH(18,Tracker!$AD$6:$AD$65,0)),"")</f>
        <v/>
      </c>
    </row>
    <row r="67" spans="2:16" ht="25.5" customHeight="1" x14ac:dyDescent="0.45">
      <c r="B67" s="29" t="str">
        <f>IFERROR(INDEX(Tracker!$A$6:$A$65,MATCH(19,Tracker!$AD$6:$AD$65,0)),"")</f>
        <v/>
      </c>
      <c r="C67" s="6" t="str">
        <f>IFERROR(INDEX(Tracker!$C$6:$C$65,MATCH(19,Tracker!$AD$6:$AD$65,0)),"")</f>
        <v/>
      </c>
      <c r="D67" s="6"/>
      <c r="E67" s="15" t="str">
        <f>IFERROR(INDEX(Tracker!$D$6:$D$65,MATCH(19,Tracker!$AD$6:$AD$65,0)),"")</f>
        <v/>
      </c>
      <c r="F67" s="35" t="str">
        <f>IFERROR(INDEX(Tracker!$B$6:$B$65,MATCH(19,Tracker!$AD$6:$AD$65,0)),"")</f>
        <v/>
      </c>
      <c r="G67" s="32" t="str">
        <f>IFERROR(INDEX(Tracker!$X$6:$X$65,MATCH(19,Tracker!$AD$6:$AD$65,0)),"")</f>
        <v/>
      </c>
      <c r="H67" s="35" t="str">
        <f>IFERROR(INDEX(Tracker!$I$6:$I$65,MATCH(19,Tracker!$AD$6:$AD$65,0)),"")</f>
        <v/>
      </c>
      <c r="I67" s="32" t="str">
        <f>IFERROR(INDEX(Tracker!$Z$6:$Z$65,MATCH(19,Tracker!$AD$6:$AD$65,0)),"")</f>
        <v/>
      </c>
      <c r="J67" s="15" t="str">
        <f>IFERROR(INDEX(Tracker!$AA$6:$AA$65,MATCH(19,Tracker!$AD$6:$AD$65,0)),"")</f>
        <v/>
      </c>
      <c r="K67" s="6" t="str">
        <f>IFERROR(INDEX(Tracker!$G$6:$G$65,MATCH(19,Tracker!$AD$6:$AD$65,0)),"")</f>
        <v/>
      </c>
      <c r="L67" s="6"/>
      <c r="M67" s="6" t="str">
        <f>IFERROR(IF(INDEX(Tracker!$AB$6:$AB$65,MATCH(19,Tracker!$AD$6:$AD$65,0))=0,"",INDEX(Tracker!$AB$6:$AB$65,MATCH(19,Tracker!$AD$6:$AD$65,0))),"")</f>
        <v/>
      </c>
      <c r="N67" s="6"/>
      <c r="P67" s="38" t="str">
        <f>IFERROR(INDEX(Tracker!$K$6:$K$65,MATCH(19,Tracker!$AD$6:$AD$65,0)),"")</f>
        <v/>
      </c>
    </row>
    <row r="68" spans="2:16" ht="25.5" customHeight="1" x14ac:dyDescent="0.45">
      <c r="B68" s="29" t="str">
        <f>IFERROR(INDEX(Tracker!$A$6:$A$65,MATCH(20,Tracker!$AD$6:$AD$65,0)),"")</f>
        <v/>
      </c>
      <c r="C68" s="6" t="str">
        <f>IFERROR(INDEX(Tracker!$C$6:$C$65,MATCH(20,Tracker!$AD$6:$AD$65,0)),"")</f>
        <v/>
      </c>
      <c r="D68" s="6"/>
      <c r="E68" s="15" t="str">
        <f>IFERROR(INDEX(Tracker!$D$6:$D$65,MATCH(20,Tracker!$AD$6:$AD$65,0)),"")</f>
        <v/>
      </c>
      <c r="F68" s="35" t="str">
        <f>IFERROR(INDEX(Tracker!$B$6:$B$65,MATCH(20,Tracker!$AD$6:$AD$65,0)),"")</f>
        <v/>
      </c>
      <c r="G68" s="32" t="str">
        <f>IFERROR(INDEX(Tracker!$X$6:$X$65,MATCH(20,Tracker!$AD$6:$AD$65,0)),"")</f>
        <v/>
      </c>
      <c r="H68" s="35" t="str">
        <f>IFERROR(INDEX(Tracker!$I$6:$I$65,MATCH(20,Tracker!$AD$6:$AD$65,0)),"")</f>
        <v/>
      </c>
      <c r="I68" s="32" t="str">
        <f>IFERROR(INDEX(Tracker!$Z$6:$Z$65,MATCH(20,Tracker!$AD$6:$AD$65,0)),"")</f>
        <v/>
      </c>
      <c r="J68" s="15" t="str">
        <f>IFERROR(INDEX(Tracker!$AA$6:$AA$65,MATCH(20,Tracker!$AD$6:$AD$65,0)),"")</f>
        <v/>
      </c>
      <c r="K68" s="6" t="str">
        <f>IFERROR(INDEX(Tracker!$G$6:$G$65,MATCH(20,Tracker!$AD$6:$AD$65,0)),"")</f>
        <v/>
      </c>
      <c r="L68" s="6"/>
      <c r="M68" s="6" t="str">
        <f>IFERROR(IF(INDEX(Tracker!$AB$6:$AB$65,MATCH(20,Tracker!$AD$6:$AD$65,0))=0,"",INDEX(Tracker!$AB$6:$AB$65,MATCH(20,Tracker!$AD$6:$AD$65,0))),"")</f>
        <v/>
      </c>
      <c r="N68" s="6"/>
      <c r="P68" s="38" t="str">
        <f>IFERROR(INDEX(Tracker!$K$6:$K$65,MATCH(20,Tracker!$AD$6:$AD$65,0)),"")</f>
        <v/>
      </c>
    </row>
  </sheetData>
  <mergeCells count="91">
    <mergeCell ref="C68:D68"/>
    <mergeCell ref="K68:L68"/>
    <mergeCell ref="M68:N68"/>
    <mergeCell ref="C66:D66"/>
    <mergeCell ref="K66:L66"/>
    <mergeCell ref="M66:N66"/>
    <mergeCell ref="C67:D67"/>
    <mergeCell ref="K67:L67"/>
    <mergeCell ref="M67:N67"/>
    <mergeCell ref="C64:D64"/>
    <mergeCell ref="K64:L64"/>
    <mergeCell ref="M64:N64"/>
    <mergeCell ref="C65:D65"/>
    <mergeCell ref="K65:L65"/>
    <mergeCell ref="M65:N65"/>
    <mergeCell ref="C62:D62"/>
    <mergeCell ref="K62:L62"/>
    <mergeCell ref="M62:N62"/>
    <mergeCell ref="C63:D63"/>
    <mergeCell ref="K63:L63"/>
    <mergeCell ref="M63:N63"/>
    <mergeCell ref="C60:D60"/>
    <mergeCell ref="K60:L60"/>
    <mergeCell ref="M60:N60"/>
    <mergeCell ref="C61:D61"/>
    <mergeCell ref="K61:L61"/>
    <mergeCell ref="M61:N61"/>
    <mergeCell ref="C58:D58"/>
    <mergeCell ref="K58:L58"/>
    <mergeCell ref="M58:N58"/>
    <mergeCell ref="C59:D59"/>
    <mergeCell ref="K59:L59"/>
    <mergeCell ref="M59:N59"/>
    <mergeCell ref="C56:D56"/>
    <mergeCell ref="K56:L56"/>
    <mergeCell ref="M56:N56"/>
    <mergeCell ref="C57:D57"/>
    <mergeCell ref="K57:L57"/>
    <mergeCell ref="M57:N57"/>
    <mergeCell ref="C54:D54"/>
    <mergeCell ref="K54:L54"/>
    <mergeCell ref="M54:N54"/>
    <mergeCell ref="C55:D55"/>
    <mergeCell ref="K55:L55"/>
    <mergeCell ref="M55:N55"/>
    <mergeCell ref="C52:D52"/>
    <mergeCell ref="K52:L52"/>
    <mergeCell ref="M52:N52"/>
    <mergeCell ref="C53:D53"/>
    <mergeCell ref="K53:L53"/>
    <mergeCell ref="M53:N53"/>
    <mergeCell ref="C50:D50"/>
    <mergeCell ref="K50:L50"/>
    <mergeCell ref="M50:N50"/>
    <mergeCell ref="C51:D51"/>
    <mergeCell ref="K51:L51"/>
    <mergeCell ref="M51:N51"/>
    <mergeCell ref="C48:D48"/>
    <mergeCell ref="K48:L48"/>
    <mergeCell ref="M48:N48"/>
    <mergeCell ref="C49:D49"/>
    <mergeCell ref="K49:L49"/>
    <mergeCell ref="M49:N49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C13:E13"/>
    <mergeCell ref="C14:E14"/>
    <mergeCell ref="C15:E15"/>
    <mergeCell ref="C16:E16"/>
    <mergeCell ref="B19:C19"/>
    <mergeCell ref="C8:E8"/>
    <mergeCell ref="C9:E9"/>
    <mergeCell ref="C10:E10"/>
    <mergeCell ref="C11:E11"/>
    <mergeCell ref="C12:E12"/>
    <mergeCell ref="B4:C4"/>
    <mergeCell ref="I4:J4"/>
    <mergeCell ref="K4:L4"/>
    <mergeCell ref="M4:N4"/>
    <mergeCell ref="B5:C5"/>
    <mergeCell ref="I5:J5"/>
    <mergeCell ref="K5:L5"/>
    <mergeCell ref="M5:N5"/>
  </mergeCells>
  <conditionalFormatting sqref="G49:H68">
    <cfRule type="expression" dxfId="72" priority="13">
      <formula>$P49="%"</formula>
    </cfRule>
    <cfRule type="expression" dxfId="71" priority="14">
      <formula>$P49="Months"</formula>
    </cfRule>
    <cfRule type="expression" dxfId="70" priority="15">
      <formula>$P49="Amount"</formula>
    </cfRule>
  </conditionalFormatting>
  <conditionalFormatting sqref="I20:I29">
    <cfRule type="cellIs" dxfId="69" priority="11" operator="greaterThan">
      <formula>0</formula>
    </cfRule>
  </conditionalFormatting>
  <conditionalFormatting sqref="I49:I68">
    <cfRule type="cellIs" dxfId="68" priority="16" operator="equal">
      <formula>"Green"</formula>
    </cfRule>
    <cfRule type="cellIs" dxfId="67" priority="17" operator="equal">
      <formula>"Amber"</formula>
    </cfRule>
    <cfRule type="cellIs" dxfId="66" priority="18" operator="equal">
      <formula>"Red"</formula>
    </cfRule>
    <cfRule type="cellIs" dxfId="65" priority="19" operator="equal">
      <formula>"No data"</formula>
    </cfRule>
  </conditionalFormatting>
  <conditionalFormatting sqref="J9:J16">
    <cfRule type="dataBar" priority="5">
      <dataBar>
        <cfvo type="num" val="0"/>
        <cfvo type="num" val="1"/>
        <color rgb="FF3E9B5A"/>
      </dataBar>
      <extLst>
        <ext xmlns:x14="http://schemas.microsoft.com/office/spreadsheetml/2009/9/main" uri="{B025F937-C7B1-47D3-B67F-A62EFF666E3E}">
          <x14:id>{D4EF476B-C1EE-485E-82A9-FE5BED8152CD}</x14:id>
        </ext>
      </extLst>
    </cfRule>
  </conditionalFormatting>
  <conditionalFormatting sqref="J49:J68">
    <cfRule type="cellIs" dxfId="64" priority="20" operator="equal">
      <formula>"Worsening"</formula>
    </cfRule>
    <cfRule type="cellIs" dxfId="63" priority="21" operator="equal">
      <formula>"Improving"</formula>
    </cfRule>
  </conditionalFormatting>
  <conditionalFormatting sqref="K9:K16">
    <cfRule type="cellIs" dxfId="62" priority="2" operator="equal">
      <formula>"On track"</formula>
    </cfRule>
    <cfRule type="cellIs" dxfId="61" priority="3" operator="equal">
      <formula>"Watch"</formula>
    </cfRule>
    <cfRule type="cellIs" dxfId="60" priority="4" operator="equal">
      <formula>"Off track"</formula>
    </cfRule>
  </conditionalFormatting>
  <conditionalFormatting sqref="K20:K29">
    <cfRule type="dataBar" priority="9">
      <dataBar>
        <cfvo type="num" val="0"/>
        <cfvo type="num" val="1"/>
        <color rgb="FF3E9B5A"/>
      </dataBar>
      <extLst>
        <ext xmlns:x14="http://schemas.microsoft.com/office/spreadsheetml/2009/9/main" uri="{B025F937-C7B1-47D3-B67F-A62EFF666E3E}">
          <x14:id>{78208696-2C50-49D6-9BBB-D151A16A9670}</x14:id>
        </ext>
      </extLst>
    </cfRule>
  </conditionalFormatting>
  <conditionalFormatting sqref="L20:L29">
    <cfRule type="cellIs" dxfId="59" priority="6" operator="equal">
      <formula>"On track"</formula>
    </cfRule>
    <cfRule type="cellIs" dxfId="58" priority="7" operator="equal">
      <formula>"Watch"</formula>
    </cfRule>
    <cfRule type="cellIs" dxfId="57" priority="8" operator="equal">
      <formula>"Off track"</formula>
    </cfRule>
  </conditionalFormatting>
  <conditionalFormatting sqref="N20:N29">
    <cfRule type="cellIs" dxfId="56" priority="10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00000000-000E-0000-0100-00000C000000}">
            <xm:f>ROW(B33)-ROW($B$33)+1=Setup!$B$7</xm:f>
            <x14:dxf>
              <fill>
                <patternFill>
                  <bgColor rgb="FFFBE6BC"/>
                </patternFill>
              </fill>
            </x14:dxf>
          </x14:cfRule>
          <xm:sqref>B33:G44</xm:sqref>
        </x14:conditionalFormatting>
        <x14:conditionalFormatting xmlns:xm="http://schemas.microsoft.com/office/excel/2006/main">
          <x14:cfRule type="dataBar" id="{D4EF476B-C1EE-485E-82A9-FE5BED8152CD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3E9B5A"/>
            </x14:dataBar>
          </x14:cfRule>
          <xm:sqref>J9:J16</xm:sqref>
        </x14:conditionalFormatting>
        <x14:conditionalFormatting xmlns:xm="http://schemas.microsoft.com/office/excel/2006/main">
          <x14:cfRule type="dataBar" id="{78208696-2C50-49D6-9BBB-D151A16A9670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3E9B5A"/>
            </x14:dataBar>
          </x14:cfRule>
          <xm:sqref>K20:K29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E9B5A"/>
  </sheetPr>
  <dimension ref="A1:Z39"/>
  <sheetViews>
    <sheetView showGridLines="0" zoomScaleNormal="100" workbookViewId="0">
      <pane ySplit="7" topLeftCell="A8" activePane="bottomLeft" state="frozen"/>
      <selection pane="bottomLeft" activeCell="C4" sqref="C4:E4"/>
    </sheetView>
  </sheetViews>
  <sheetFormatPr defaultColWidth="8.6640625" defaultRowHeight="14.25" x14ac:dyDescent="0.45"/>
  <cols>
    <col min="1" max="1" width="5" customWidth="1"/>
    <col min="2" max="2" width="8" customWidth="1"/>
    <col min="3" max="3" width="9" customWidth="1"/>
    <col min="4" max="4" width="28" customWidth="1"/>
    <col min="5" max="5" width="18" customWidth="1"/>
    <col min="6" max="9" width="10" customWidth="1"/>
    <col min="10" max="10" width="9" customWidth="1"/>
    <col min="11" max="11" width="11" customWidth="1"/>
    <col min="12" max="23" width="5.19921875" customWidth="1"/>
    <col min="24" max="24" width="8" customWidth="1"/>
    <col min="25" max="25" width="38" customWidth="1"/>
    <col min="26" max="26" width="13" hidden="1" customWidth="1"/>
  </cols>
  <sheetData>
    <row r="1" spans="1:11" ht="20.65" x14ac:dyDescent="0.6">
      <c r="A1" s="11" t="s">
        <v>15</v>
      </c>
    </row>
    <row r="2" spans="1:11" x14ac:dyDescent="0.45">
      <c r="A2" s="12" t="str">
        <f>IF(Setup!$B$7="","","Reporting month: "&amp;Setup!$B$6&amp;" "&amp;Setup!$B$5&amp;". Pick a department in the yellow box.")</f>
        <v>Reporting month: Sep 2026. Pick a department in the yellow box.</v>
      </c>
    </row>
    <row r="4" spans="1:11" ht="15" customHeight="1" x14ac:dyDescent="0.45">
      <c r="A4" s="42" t="s">
        <v>59</v>
      </c>
      <c r="C4" s="3" t="s">
        <v>111</v>
      </c>
      <c r="D4" s="3"/>
      <c r="E4" s="3"/>
      <c r="G4" s="43" t="s">
        <v>90</v>
      </c>
      <c r="H4" s="2" t="str">
        <f>IFERROR(INDEX(Setup!$B$13:$B$27,MATCH($C$4,Setup!$A$13:$A$27,0)),"")</f>
        <v>Head of Marketing</v>
      </c>
      <c r="I4" s="2"/>
      <c r="J4" s="2"/>
      <c r="K4" s="2"/>
    </row>
    <row r="6" spans="1:11" ht="24" x14ac:dyDescent="0.45">
      <c r="D6" s="22" t="s">
        <v>7</v>
      </c>
      <c r="E6" s="22" t="s">
        <v>29</v>
      </c>
      <c r="F6" s="22" t="s">
        <v>31</v>
      </c>
      <c r="G6" s="22" t="s">
        <v>33</v>
      </c>
      <c r="H6" s="22" t="s">
        <v>91</v>
      </c>
      <c r="I6" s="22" t="s">
        <v>52</v>
      </c>
      <c r="J6" s="22" t="s">
        <v>53</v>
      </c>
    </row>
    <row r="7" spans="1:11" ht="30" customHeight="1" x14ac:dyDescent="0.6">
      <c r="D7" s="44">
        <f>COUNTIF(Tracker!$D$6:$D$65,$C$4)</f>
        <v>3</v>
      </c>
      <c r="E7" s="45">
        <f>COUNTIFS(Tracker!$D$6:$D$65,$C$4,Tracker!$Z$6:$Z$65,"Green")</f>
        <v>1</v>
      </c>
      <c r="F7" s="46">
        <f>COUNTIFS(Tracker!$D$6:$D$65,$C$4,Tracker!$Z$6:$Z$65,"Amber")</f>
        <v>1</v>
      </c>
      <c r="G7" s="47">
        <f>COUNTIFS(Tracker!$D$6:$D$65,$C$4,Tracker!$Z$6:$Z$65,"Red")</f>
        <v>1</v>
      </c>
      <c r="H7" s="48">
        <f>IF(SUM(E7:G7)=0,"",(E7+0.5*F7)/SUM(E7:G7))</f>
        <v>0.5</v>
      </c>
      <c r="I7" s="44">
        <f>COUNTIFS(Actions!$D$6:$D$105,$C$4,Actions!$I$6:$I$105,"Open")</f>
        <v>0</v>
      </c>
      <c r="J7" s="47">
        <f>COUNTIFS(Actions!$D$6:$D$105,$C$4,Actions!$L$6:$L$105,"Overdue")</f>
        <v>0</v>
      </c>
    </row>
    <row r="9" spans="1:11" ht="15.4" x14ac:dyDescent="0.45">
      <c r="A9" s="13" t="s">
        <v>92</v>
      </c>
    </row>
    <row r="10" spans="1:11" x14ac:dyDescent="0.45">
      <c r="A10" s="28" t="s">
        <v>81</v>
      </c>
      <c r="B10" s="28" t="s">
        <v>55</v>
      </c>
      <c r="C10" s="28" t="s">
        <v>93</v>
      </c>
      <c r="D10" s="28" t="s">
        <v>56</v>
      </c>
      <c r="E10" s="28" t="s">
        <v>87</v>
      </c>
      <c r="F10" s="28" t="s">
        <v>7</v>
      </c>
      <c r="G10" s="28" t="s">
        <v>37</v>
      </c>
      <c r="H10" s="28" t="s">
        <v>57</v>
      </c>
    </row>
    <row r="11" spans="1:11" x14ac:dyDescent="0.45">
      <c r="A11" s="49">
        <f>IF(B11="","",1)</f>
        <v>1</v>
      </c>
      <c r="B11" s="15" t="str">
        <f>IFERROR(INDEX(Cascade!$A$6:$A$65,MATCH(1,Cascade!$O$6:$O$65,0)),"")</f>
        <v>D3</v>
      </c>
      <c r="C11" s="15" t="str">
        <f>IFERROR(INDEX(Cascade!$B$6:$B$65,MATCH(1,Cascade!$O$6:$O$65,0)),"")</f>
        <v>C2</v>
      </c>
      <c r="D11" s="15" t="str">
        <f>IFERROR(INDEX(Cascade!$E$6:$E$65,MATCH(1,Cascade!$O$6:$O$65,0)),"")</f>
        <v>More customers buy again within 90 days</v>
      </c>
      <c r="E11" s="15" t="str">
        <f>IFERROR(INDEX(Cascade!$F$6:$F$65,MATCH(1,Cascade!$O$6:$O$65,0)),"")</f>
        <v>Head of Marketing</v>
      </c>
      <c r="F11" s="50">
        <f>IFERROR(INDEX(Cascade!$G$6:$G$65,MATCH(1,Cascade!$O$6:$O$65,0))+INDEX(Cascade!$H$6:$H$65,MATCH(1,Cascade!$O$6:$O$65,0)),"")</f>
        <v>2</v>
      </c>
      <c r="G11" s="51">
        <f>IFERROR(INDEX(Cascade!$L$6:$L$65,MATCH(1,Cascade!$O$6:$O$65,0)),"")</f>
        <v>0.5</v>
      </c>
      <c r="H11" s="29" t="str">
        <f>IFERROR(INDEX(Cascade!$M$6:$M$65,MATCH(1,Cascade!$O$6:$O$65,0)),"")</f>
        <v>Watch</v>
      </c>
    </row>
    <row r="12" spans="1:11" x14ac:dyDescent="0.45">
      <c r="A12" s="49">
        <f>IF(B12="","",2)</f>
        <v>2</v>
      </c>
      <c r="B12" s="15" t="str">
        <f>IFERROR(INDEX(Cascade!$A$6:$A$65,MATCH(2,Cascade!$O$6:$O$65,0)),"")</f>
        <v>D4</v>
      </c>
      <c r="C12" s="15" t="str">
        <f>IFERROR(INDEX(Cascade!$B$6:$B$65,MATCH(2,Cascade!$O$6:$O$65,0)),"")</f>
        <v>C2</v>
      </c>
      <c r="D12" s="15" t="str">
        <f>IFERROR(INDEX(Cascade!$E$6:$E$65,MATCH(2,Cascade!$O$6:$O$65,0)),"")</f>
        <v>Solve customer problems the first time</v>
      </c>
      <c r="E12" s="15" t="str">
        <f>IFERROR(INDEX(Cascade!$F$6:$F$65,MATCH(2,Cascade!$O$6:$O$65,0)),"")</f>
        <v>Head of Customer Service</v>
      </c>
      <c r="F12" s="50">
        <f>IFERROR(INDEX(Cascade!$G$6:$G$65,MATCH(2,Cascade!$O$6:$O$65,0))+INDEX(Cascade!$H$6:$H$65,MATCH(2,Cascade!$O$6:$O$65,0)),"")</f>
        <v>1</v>
      </c>
      <c r="G12" s="51">
        <f>IFERROR(INDEX(Cascade!$L$6:$L$65,MATCH(2,Cascade!$O$6:$O$65,0)),"")</f>
        <v>0.5</v>
      </c>
      <c r="H12" s="29" t="str">
        <f>IFERROR(INDEX(Cascade!$M$6:$M$65,MATCH(2,Cascade!$O$6:$O$65,0)),"")</f>
        <v>Watch</v>
      </c>
    </row>
    <row r="13" spans="1:11" x14ac:dyDescent="0.45">
      <c r="A13" s="49" t="str">
        <f>IF(B13="","",3)</f>
        <v/>
      </c>
      <c r="B13" s="15" t="str">
        <f>IFERROR(INDEX(Cascade!$A$6:$A$65,MATCH(3,Cascade!$O$6:$O$65,0)),"")</f>
        <v/>
      </c>
      <c r="C13" s="15" t="str">
        <f>IFERROR(INDEX(Cascade!$B$6:$B$65,MATCH(3,Cascade!$O$6:$O$65,0)),"")</f>
        <v/>
      </c>
      <c r="D13" s="15" t="str">
        <f>IFERROR(INDEX(Cascade!$E$6:$E$65,MATCH(3,Cascade!$O$6:$O$65,0)),"")</f>
        <v/>
      </c>
      <c r="E13" s="15" t="str">
        <f>IFERROR(INDEX(Cascade!$F$6:$F$65,MATCH(3,Cascade!$O$6:$O$65,0)),"")</f>
        <v/>
      </c>
      <c r="F13" s="50" t="str">
        <f>IFERROR(INDEX(Cascade!$G$6:$G$65,MATCH(3,Cascade!$O$6:$O$65,0))+INDEX(Cascade!$H$6:$H$65,MATCH(3,Cascade!$O$6:$O$65,0)),"")</f>
        <v/>
      </c>
      <c r="G13" s="51" t="str">
        <f>IFERROR(INDEX(Cascade!$L$6:$L$65,MATCH(3,Cascade!$O$6:$O$65,0)),"")</f>
        <v/>
      </c>
      <c r="H13" s="29" t="str">
        <f>IFERROR(INDEX(Cascade!$M$6:$M$65,MATCH(3,Cascade!$O$6:$O$65,0)),"")</f>
        <v/>
      </c>
    </row>
    <row r="14" spans="1:11" x14ac:dyDescent="0.45">
      <c r="A14" s="49" t="str">
        <f>IF(B14="","",4)</f>
        <v/>
      </c>
      <c r="B14" s="15" t="str">
        <f>IFERROR(INDEX(Cascade!$A$6:$A$65,MATCH(4,Cascade!$O$6:$O$65,0)),"")</f>
        <v/>
      </c>
      <c r="C14" s="15" t="str">
        <f>IFERROR(INDEX(Cascade!$B$6:$B$65,MATCH(4,Cascade!$O$6:$O$65,0)),"")</f>
        <v/>
      </c>
      <c r="D14" s="15" t="str">
        <f>IFERROR(INDEX(Cascade!$E$6:$E$65,MATCH(4,Cascade!$O$6:$O$65,0)),"")</f>
        <v/>
      </c>
      <c r="E14" s="15" t="str">
        <f>IFERROR(INDEX(Cascade!$F$6:$F$65,MATCH(4,Cascade!$O$6:$O$65,0)),"")</f>
        <v/>
      </c>
      <c r="F14" s="50" t="str">
        <f>IFERROR(INDEX(Cascade!$G$6:$G$65,MATCH(4,Cascade!$O$6:$O$65,0))+INDEX(Cascade!$H$6:$H$65,MATCH(4,Cascade!$O$6:$O$65,0)),"")</f>
        <v/>
      </c>
      <c r="G14" s="51" t="str">
        <f>IFERROR(INDEX(Cascade!$L$6:$L$65,MATCH(4,Cascade!$O$6:$O$65,0)),"")</f>
        <v/>
      </c>
      <c r="H14" s="29" t="str">
        <f>IFERROR(INDEX(Cascade!$M$6:$M$65,MATCH(4,Cascade!$O$6:$O$65,0)),"")</f>
        <v/>
      </c>
    </row>
    <row r="15" spans="1:11" x14ac:dyDescent="0.45">
      <c r="A15" s="49" t="str">
        <f>IF(B15="","",5)</f>
        <v/>
      </c>
      <c r="B15" s="15" t="str">
        <f>IFERROR(INDEX(Cascade!$A$6:$A$65,MATCH(5,Cascade!$O$6:$O$65,0)),"")</f>
        <v/>
      </c>
      <c r="C15" s="15" t="str">
        <f>IFERROR(INDEX(Cascade!$B$6:$B$65,MATCH(5,Cascade!$O$6:$O$65,0)),"")</f>
        <v/>
      </c>
      <c r="D15" s="15" t="str">
        <f>IFERROR(INDEX(Cascade!$E$6:$E$65,MATCH(5,Cascade!$O$6:$O$65,0)),"")</f>
        <v/>
      </c>
      <c r="E15" s="15" t="str">
        <f>IFERROR(INDEX(Cascade!$F$6:$F$65,MATCH(5,Cascade!$O$6:$O$65,0)),"")</f>
        <v/>
      </c>
      <c r="F15" s="50" t="str">
        <f>IFERROR(INDEX(Cascade!$G$6:$G$65,MATCH(5,Cascade!$O$6:$O$65,0))+INDEX(Cascade!$H$6:$H$65,MATCH(5,Cascade!$O$6:$O$65,0)),"")</f>
        <v/>
      </c>
      <c r="G15" s="51" t="str">
        <f>IFERROR(INDEX(Cascade!$L$6:$L$65,MATCH(5,Cascade!$O$6:$O$65,0)),"")</f>
        <v/>
      </c>
      <c r="H15" s="29" t="str">
        <f>IFERROR(INDEX(Cascade!$M$6:$M$65,MATCH(5,Cascade!$O$6:$O$65,0)),"")</f>
        <v/>
      </c>
    </row>
    <row r="16" spans="1:11" x14ac:dyDescent="0.45">
      <c r="A16" s="49" t="str">
        <f>IF(B16="","",6)</f>
        <v/>
      </c>
      <c r="B16" s="15" t="str">
        <f>IFERROR(INDEX(Cascade!$A$6:$A$65,MATCH(6,Cascade!$O$6:$O$65,0)),"")</f>
        <v/>
      </c>
      <c r="C16" s="15" t="str">
        <f>IFERROR(INDEX(Cascade!$B$6:$B$65,MATCH(6,Cascade!$O$6:$O$65,0)),"")</f>
        <v/>
      </c>
      <c r="D16" s="15" t="str">
        <f>IFERROR(INDEX(Cascade!$E$6:$E$65,MATCH(6,Cascade!$O$6:$O$65,0)),"")</f>
        <v/>
      </c>
      <c r="E16" s="15" t="str">
        <f>IFERROR(INDEX(Cascade!$F$6:$F$65,MATCH(6,Cascade!$O$6:$O$65,0)),"")</f>
        <v/>
      </c>
      <c r="F16" s="50" t="str">
        <f>IFERROR(INDEX(Cascade!$G$6:$G$65,MATCH(6,Cascade!$O$6:$O$65,0))+INDEX(Cascade!$H$6:$H$65,MATCH(6,Cascade!$O$6:$O$65,0)),"")</f>
        <v/>
      </c>
      <c r="G16" s="51" t="str">
        <f>IFERROR(INDEX(Cascade!$L$6:$L$65,MATCH(6,Cascade!$O$6:$O$65,0)),"")</f>
        <v/>
      </c>
      <c r="H16" s="29" t="str">
        <f>IFERROR(INDEX(Cascade!$M$6:$M$65,MATCH(6,Cascade!$O$6:$O$65,0)),"")</f>
        <v/>
      </c>
    </row>
    <row r="18" spans="1:26" ht="15.4" x14ac:dyDescent="0.45">
      <c r="A18" s="13" t="s">
        <v>94</v>
      </c>
    </row>
    <row r="19" spans="1:26" ht="30" customHeight="1" x14ac:dyDescent="0.45">
      <c r="A19" s="52" t="s">
        <v>81</v>
      </c>
      <c r="B19" s="52" t="s">
        <v>55</v>
      </c>
      <c r="C19" s="52" t="s">
        <v>83</v>
      </c>
      <c r="D19" s="52" t="s">
        <v>82</v>
      </c>
      <c r="E19" s="52" t="s">
        <v>87</v>
      </c>
      <c r="F19" s="52" t="s">
        <v>84</v>
      </c>
      <c r="G19" s="52" t="s">
        <v>95</v>
      </c>
      <c r="H19" s="52" t="s">
        <v>85</v>
      </c>
      <c r="I19" s="52" t="s">
        <v>96</v>
      </c>
      <c r="J19" s="52" t="s">
        <v>86</v>
      </c>
      <c r="K19" s="52" t="s">
        <v>39</v>
      </c>
      <c r="L19" s="53" t="s">
        <v>68</v>
      </c>
      <c r="M19" s="53" t="s">
        <v>69</v>
      </c>
      <c r="N19" s="53" t="s">
        <v>70</v>
      </c>
      <c r="O19" s="53" t="s">
        <v>71</v>
      </c>
      <c r="P19" s="53" t="s">
        <v>72</v>
      </c>
      <c r="Q19" s="53" t="s">
        <v>73</v>
      </c>
      <c r="R19" s="53" t="s">
        <v>74</v>
      </c>
      <c r="S19" s="53" t="s">
        <v>75</v>
      </c>
      <c r="T19" s="53" t="s">
        <v>76</v>
      </c>
      <c r="U19" s="53" t="s">
        <v>77</v>
      </c>
      <c r="V19" s="53" t="s">
        <v>78</v>
      </c>
      <c r="W19" s="53" t="s">
        <v>79</v>
      </c>
      <c r="X19" s="52" t="s">
        <v>52</v>
      </c>
      <c r="Y19" s="52" t="s">
        <v>88</v>
      </c>
      <c r="Z19" s="54" t="s">
        <v>97</v>
      </c>
    </row>
    <row r="20" spans="1:26" x14ac:dyDescent="0.45">
      <c r="A20" s="49">
        <f>IF(B20="","",1)</f>
        <v>1</v>
      </c>
      <c r="B20" s="15" t="str">
        <f>IFERROR(INDEX(Tracker!$A$6:$A$65,MATCH(1,Tracker!$AE$6:$AE$65,0)),"")</f>
        <v>K05</v>
      </c>
      <c r="C20" s="15" t="str">
        <f>IFERROR(INDEX(Tracker!$B$6:$B$65,MATCH(1,Tracker!$AE$6:$AE$65,0)),"")</f>
        <v>KPI</v>
      </c>
      <c r="D20" s="15" t="str">
        <f>IFERROR(INDEX(Tracker!$C$6:$C$65,MATCH(1,Tracker!$AE$6:$AE$65,0)),"")</f>
        <v>Repeat customer rate</v>
      </c>
      <c r="E20" s="15" t="str">
        <f>IFERROR(INDEX(Tracker!$G$6:$G$65,MATCH(1,Tracker!$AE$6:$AE$65,0)),"")</f>
        <v>Head of Marketing</v>
      </c>
      <c r="F20" s="55">
        <f>IFERROR(INDEX(Tracker!$X$6:$X$65,MATCH(1,Tracker!$AE$6:$AE$65,0)),"")</f>
        <v>0.34</v>
      </c>
      <c r="G20" s="56">
        <f>IFERROR(INDEX(Tracker!$Y$6:$Y$65,MATCH(1,Tracker!$AE$6:$AE$65,0)),"")</f>
        <v>0.33</v>
      </c>
      <c r="H20" s="56">
        <f>IFERROR(INDEX(Tracker!$I$6:$I$65,MATCH(1,Tracker!$AE$6:$AE$65,0)),"")</f>
        <v>0.4</v>
      </c>
      <c r="I20" s="56">
        <f>IFERROR(INDEX(Tracker!$J$6:$J$65,MATCH(1,Tracker!$AE$6:$AE$65,0)),"")</f>
        <v>0.35</v>
      </c>
      <c r="J20" s="32" t="str">
        <f>IFERROR(INDEX(Tracker!$Z$6:$Z$65,MATCH(1,Tracker!$AE$6:$AE$65,0)),"")</f>
        <v>Red</v>
      </c>
      <c r="K20" s="15" t="str">
        <f>IFERROR(INDEX(Tracker!$AA$6:$AA$65,MATCH(1,Tracker!$AE$6:$AE$65,0)),"")</f>
        <v>Improving</v>
      </c>
      <c r="L20" s="35" t="str">
        <f>IF($B20="","",IFERROR(INDEX(Calc!B$6:B$65,MATCH($B20,Calc!$A$6:$A$65,0)),""))</f>
        <v>R</v>
      </c>
      <c r="M20" s="35" t="str">
        <f>IF($B20="","",IFERROR(INDEX(Calc!C$6:C$65,MATCH($B20,Calc!$A$6:$A$65,0)),""))</f>
        <v>R</v>
      </c>
      <c r="N20" s="35" t="str">
        <f>IF($B20="","",IFERROR(INDEX(Calc!D$6:D$65,MATCH($B20,Calc!$A$6:$A$65,0)),""))</f>
        <v>R</v>
      </c>
      <c r="O20" s="35" t="str">
        <f>IF($B20="","",IFERROR(INDEX(Calc!E$6:E$65,MATCH($B20,Calc!$A$6:$A$65,0)),""))</f>
        <v>R</v>
      </c>
      <c r="P20" s="35" t="str">
        <f>IF($B20="","",IFERROR(INDEX(Calc!F$6:F$65,MATCH($B20,Calc!$A$6:$A$65,0)),""))</f>
        <v>R</v>
      </c>
      <c r="Q20" s="35" t="str">
        <f>IF($B20="","",IFERROR(INDEX(Calc!G$6:G$65,MATCH($B20,Calc!$A$6:$A$65,0)),""))</f>
        <v>R</v>
      </c>
      <c r="R20" s="35" t="str">
        <f>IF($B20="","",IFERROR(INDEX(Calc!H$6:H$65,MATCH($B20,Calc!$A$6:$A$65,0)),""))</f>
        <v>R</v>
      </c>
      <c r="S20" s="35" t="str">
        <f>IF($B20="","",IFERROR(INDEX(Calc!I$6:I$65,MATCH($B20,Calc!$A$6:$A$65,0)),""))</f>
        <v>R</v>
      </c>
      <c r="T20" s="35" t="str">
        <f>IF($B20="","",IFERROR(INDEX(Calc!J$6:J$65,MATCH($B20,Calc!$A$6:$A$65,0)),""))</f>
        <v>R</v>
      </c>
      <c r="U20" s="35" t="str">
        <f>IF($B20="","",IFERROR(INDEX(Calc!K$6:K$65,MATCH($B20,Calc!$A$6:$A$65,0)),""))</f>
        <v/>
      </c>
      <c r="V20" s="35" t="str">
        <f>IF($B20="","",IFERROR(INDEX(Calc!L$6:L$65,MATCH($B20,Calc!$A$6:$A$65,0)),""))</f>
        <v/>
      </c>
      <c r="W20" s="35" t="str">
        <f>IF($B20="","",IFERROR(INDEX(Calc!M$6:M$65,MATCH($B20,Calc!$A$6:$A$65,0)),""))</f>
        <v/>
      </c>
      <c r="X20" s="30">
        <f>IF(B20="","",COUNTIFS(Actions!$B$6:$B$105,B20,Actions!$I$6:$I$105,"Open"))</f>
        <v>0</v>
      </c>
      <c r="Y20" s="15" t="str">
        <f>IF(B20="","",IF(INDEX(Tracker!$AB$6:$AB$65,MATCH(1,Tracker!$AE$6:$AE$65,0))=0,"",INDEX(Tracker!$AB$6:$AB$65,MATCH(1,Tracker!$AE$6:$AE$65,0))))</f>
        <v>Loyalty offer relaunched in July. Moving the right way, still below 35%.</v>
      </c>
      <c r="Z20" s="57" t="str">
        <f>IFERROR(INDEX(Tracker!$K$6:$K$65,MATCH(1,Tracker!$AE$6:$AE$65,0)),"")</f>
        <v>%</v>
      </c>
    </row>
    <row r="21" spans="1:26" x14ac:dyDescent="0.45">
      <c r="A21" s="49">
        <f>IF(B21="","",2)</f>
        <v>2</v>
      </c>
      <c r="B21" s="15" t="str">
        <f>IFERROR(INDEX(Tracker!$A$6:$A$65,MATCH(2,Tracker!$AE$6:$AE$65,0)),"")</f>
        <v>K06</v>
      </c>
      <c r="C21" s="15" t="str">
        <f>IFERROR(INDEX(Tracker!$B$6:$B$65,MATCH(2,Tracker!$AE$6:$AE$65,0)),"")</f>
        <v>KPI</v>
      </c>
      <c r="D21" s="15" t="str">
        <f>IFERROR(INDEX(Tracker!$C$6:$C$65,MATCH(2,Tracker!$AE$6:$AE$65,0)),"")</f>
        <v>Net Promoter Score</v>
      </c>
      <c r="E21" s="15" t="str">
        <f>IFERROR(INDEX(Tracker!$G$6:$G$65,MATCH(2,Tracker!$AE$6:$AE$65,0)),"")</f>
        <v>Head of Customer Service</v>
      </c>
      <c r="F21" s="55">
        <f>IFERROR(INDEX(Tracker!$X$6:$X$65,MATCH(2,Tracker!$AE$6:$AE$65,0)),"")</f>
        <v>41</v>
      </c>
      <c r="G21" s="56">
        <f>IFERROR(INDEX(Tracker!$Y$6:$Y$65,MATCH(2,Tracker!$AE$6:$AE$65,0)),"")</f>
        <v>40</v>
      </c>
      <c r="H21" s="56">
        <f>IFERROR(INDEX(Tracker!$I$6:$I$65,MATCH(2,Tracker!$AE$6:$AE$65,0)),"")</f>
        <v>40</v>
      </c>
      <c r="I21" s="56">
        <f>IFERROR(INDEX(Tracker!$J$6:$J$65,MATCH(2,Tracker!$AE$6:$AE$65,0)),"")</f>
        <v>32</v>
      </c>
      <c r="J21" s="32" t="str">
        <f>IFERROR(INDEX(Tracker!$Z$6:$Z$65,MATCH(2,Tracker!$AE$6:$AE$65,0)),"")</f>
        <v>Green</v>
      </c>
      <c r="K21" s="15" t="str">
        <f>IFERROR(INDEX(Tracker!$AA$6:$AA$65,MATCH(2,Tracker!$AE$6:$AE$65,0)),"")</f>
        <v>Improving</v>
      </c>
      <c r="L21" s="35" t="str">
        <f>IF($B21="","",IFERROR(INDEX(Calc!B$6:B$65,MATCH($B21,Calc!$A$6:$A$65,0)),""))</f>
        <v>R</v>
      </c>
      <c r="M21" s="35" t="str">
        <f>IF($B21="","",IFERROR(INDEX(Calc!C$6:C$65,MATCH($B21,Calc!$A$6:$A$65,0)),""))</f>
        <v>R</v>
      </c>
      <c r="N21" s="35" t="str">
        <f>IF($B21="","",IFERROR(INDEX(Calc!D$6:D$65,MATCH($B21,Calc!$A$6:$A$65,0)),""))</f>
        <v>A</v>
      </c>
      <c r="O21" s="35" t="str">
        <f>IF($B21="","",IFERROR(INDEX(Calc!E$6:E$65,MATCH($B21,Calc!$A$6:$A$65,0)),""))</f>
        <v>A</v>
      </c>
      <c r="P21" s="35" t="str">
        <f>IF($B21="","",IFERROR(INDEX(Calc!F$6:F$65,MATCH($B21,Calc!$A$6:$A$65,0)),""))</f>
        <v>A</v>
      </c>
      <c r="Q21" s="35" t="str">
        <f>IF($B21="","",IFERROR(INDEX(Calc!G$6:G$65,MATCH($B21,Calc!$A$6:$A$65,0)),""))</f>
        <v>A</v>
      </c>
      <c r="R21" s="35" t="str">
        <f>IF($B21="","",IFERROR(INDEX(Calc!H$6:H$65,MATCH($B21,Calc!$A$6:$A$65,0)),""))</f>
        <v>A</v>
      </c>
      <c r="S21" s="35" t="str">
        <f>IF($B21="","",IFERROR(INDEX(Calc!I$6:I$65,MATCH($B21,Calc!$A$6:$A$65,0)),""))</f>
        <v>G</v>
      </c>
      <c r="T21" s="35" t="str">
        <f>IF($B21="","",IFERROR(INDEX(Calc!J$6:J$65,MATCH($B21,Calc!$A$6:$A$65,0)),""))</f>
        <v>G</v>
      </c>
      <c r="U21" s="35" t="str">
        <f>IF($B21="","",IFERROR(INDEX(Calc!K$6:K$65,MATCH($B21,Calc!$A$6:$A$65,0)),""))</f>
        <v/>
      </c>
      <c r="V21" s="35" t="str">
        <f>IF($B21="","",IFERROR(INDEX(Calc!L$6:L$65,MATCH($B21,Calc!$A$6:$A$65,0)),""))</f>
        <v/>
      </c>
      <c r="W21" s="35" t="str">
        <f>IF($B21="","",IFERROR(INDEX(Calc!M$6:M$65,MATCH($B21,Calc!$A$6:$A$65,0)),""))</f>
        <v/>
      </c>
      <c r="X21" s="30">
        <f>IF(B21="","",COUNTIFS(Actions!$B$6:$B$105,B21,Actions!$I$6:$I$105,"Open"))</f>
        <v>0</v>
      </c>
      <c r="Y21" s="15" t="str">
        <f>IF(B21="","",IF(INDEX(Tracker!$AB$6:$AB$65,MATCH(2,Tracker!$AE$6:$AE$65,0))=0,"",INDEX(Tracker!$AB$6:$AB$65,MATCH(2,Tracker!$AE$6:$AE$65,0))))</f>
        <v/>
      </c>
      <c r="Z21" s="57" t="str">
        <f>IFERROR(INDEX(Tracker!$K$6:$K$65,MATCH(2,Tracker!$AE$6:$AE$65,0)),"")</f>
        <v>Score</v>
      </c>
    </row>
    <row r="22" spans="1:26" ht="25.5" x14ac:dyDescent="0.45">
      <c r="A22" s="49">
        <f>IF(B22="","",3)</f>
        <v>3</v>
      </c>
      <c r="B22" s="15" t="str">
        <f>IFERROR(INDEX(Tracker!$A$6:$A$65,MATCH(3,Tracker!$AE$6:$AE$65,0)),"")</f>
        <v>K07</v>
      </c>
      <c r="C22" s="15" t="str">
        <f>IFERROR(INDEX(Tracker!$B$6:$B$65,MATCH(3,Tracker!$AE$6:$AE$65,0)),"")</f>
        <v>KPI</v>
      </c>
      <c r="D22" s="15" t="str">
        <f>IFERROR(INDEX(Tracker!$C$6:$C$65,MATCH(3,Tracker!$AE$6:$AE$65,0)),"")</f>
        <v>First-contact resolution</v>
      </c>
      <c r="E22" s="15" t="str">
        <f>IFERROR(INDEX(Tracker!$G$6:$G$65,MATCH(3,Tracker!$AE$6:$AE$65,0)),"")</f>
        <v>Head of Customer Service</v>
      </c>
      <c r="F22" s="55">
        <f>IFERROR(INDEX(Tracker!$X$6:$X$65,MATCH(3,Tracker!$AE$6:$AE$65,0)),"")</f>
        <v>0.76</v>
      </c>
      <c r="G22" s="56">
        <f>IFERROR(INDEX(Tracker!$Y$6:$Y$65,MATCH(3,Tracker!$AE$6:$AE$65,0)),"")</f>
        <v>0.76</v>
      </c>
      <c r="H22" s="56">
        <f>IFERROR(INDEX(Tracker!$I$6:$I$65,MATCH(3,Tracker!$AE$6:$AE$65,0)),"")</f>
        <v>0.8</v>
      </c>
      <c r="I22" s="56">
        <f>IFERROR(INDEX(Tracker!$J$6:$J$65,MATCH(3,Tracker!$AE$6:$AE$65,0)),"")</f>
        <v>0.72</v>
      </c>
      <c r="J22" s="32" t="str">
        <f>IFERROR(INDEX(Tracker!$Z$6:$Z$65,MATCH(3,Tracker!$AE$6:$AE$65,0)),"")</f>
        <v>Amber</v>
      </c>
      <c r="K22" s="15" t="str">
        <f>IFERROR(INDEX(Tracker!$AA$6:$AA$65,MATCH(3,Tracker!$AE$6:$AE$65,0)),"")</f>
        <v>Flat</v>
      </c>
      <c r="L22" s="35" t="str">
        <f>IF($B22="","",IFERROR(INDEX(Calc!B$6:B$65,MATCH($B22,Calc!$A$6:$A$65,0)),""))</f>
        <v>R</v>
      </c>
      <c r="M22" s="35" t="str">
        <f>IF($B22="","",IFERROR(INDEX(Calc!C$6:C$65,MATCH($B22,Calc!$A$6:$A$65,0)),""))</f>
        <v>R</v>
      </c>
      <c r="N22" s="35" t="str">
        <f>IF($B22="","",IFERROR(INDEX(Calc!D$6:D$65,MATCH($B22,Calc!$A$6:$A$65,0)),""))</f>
        <v>R</v>
      </c>
      <c r="O22" s="35" t="str">
        <f>IF($B22="","",IFERROR(INDEX(Calc!E$6:E$65,MATCH($B22,Calc!$A$6:$A$65,0)),""))</f>
        <v>A</v>
      </c>
      <c r="P22" s="35" t="str">
        <f>IF($B22="","",IFERROR(INDEX(Calc!F$6:F$65,MATCH($B22,Calc!$A$6:$A$65,0)),""))</f>
        <v>A</v>
      </c>
      <c r="Q22" s="35" t="str">
        <f>IF($B22="","",IFERROR(INDEX(Calc!G$6:G$65,MATCH($B22,Calc!$A$6:$A$65,0)),""))</f>
        <v>A</v>
      </c>
      <c r="R22" s="35" t="str">
        <f>IF($B22="","",IFERROR(INDEX(Calc!H$6:H$65,MATCH($B22,Calc!$A$6:$A$65,0)),""))</f>
        <v>A</v>
      </c>
      <c r="S22" s="35" t="str">
        <f>IF($B22="","",IFERROR(INDEX(Calc!I$6:I$65,MATCH($B22,Calc!$A$6:$A$65,0)),""))</f>
        <v>A</v>
      </c>
      <c r="T22" s="35" t="str">
        <f>IF($B22="","",IFERROR(INDEX(Calc!J$6:J$65,MATCH($B22,Calc!$A$6:$A$65,0)),""))</f>
        <v>A</v>
      </c>
      <c r="U22" s="35" t="str">
        <f>IF($B22="","",IFERROR(INDEX(Calc!K$6:K$65,MATCH($B22,Calc!$A$6:$A$65,0)),""))</f>
        <v/>
      </c>
      <c r="V22" s="35" t="str">
        <f>IF($B22="","",IFERROR(INDEX(Calc!L$6:L$65,MATCH($B22,Calc!$A$6:$A$65,0)),""))</f>
        <v/>
      </c>
      <c r="W22" s="35" t="str">
        <f>IF($B22="","",IFERROR(INDEX(Calc!M$6:M$65,MATCH($B22,Calc!$A$6:$A$65,0)),""))</f>
        <v/>
      </c>
      <c r="X22" s="30">
        <f>IF(B22="","",COUNTIFS(Actions!$B$6:$B$105,B22,Actions!$I$6:$I$105,"Open"))</f>
        <v>0</v>
      </c>
      <c r="Y22" s="15" t="str">
        <f>IF(B22="","",IF(INDEX(Tracker!$AB$6:$AB$65,MATCH(3,Tracker!$AE$6:$AE$65,0))=0,"",INDEX(Tracker!$AB$6:$AB$65,MATCH(3,Tracker!$AE$6:$AE$65,0))))</f>
        <v/>
      </c>
      <c r="Z22" s="57" t="str">
        <f>IFERROR(INDEX(Tracker!$K$6:$K$65,MATCH(3,Tracker!$AE$6:$AE$65,0)),"")</f>
        <v>%</v>
      </c>
    </row>
    <row r="23" spans="1:26" x14ac:dyDescent="0.45">
      <c r="A23" s="49" t="str">
        <f>IF(B23="","",4)</f>
        <v/>
      </c>
      <c r="B23" s="15" t="str">
        <f>IFERROR(INDEX(Tracker!$A$6:$A$65,MATCH(4,Tracker!$AE$6:$AE$65,0)),"")</f>
        <v/>
      </c>
      <c r="C23" s="15" t="str">
        <f>IFERROR(INDEX(Tracker!$B$6:$B$65,MATCH(4,Tracker!$AE$6:$AE$65,0)),"")</f>
        <v/>
      </c>
      <c r="D23" s="15" t="str">
        <f>IFERROR(INDEX(Tracker!$C$6:$C$65,MATCH(4,Tracker!$AE$6:$AE$65,0)),"")</f>
        <v/>
      </c>
      <c r="E23" s="15" t="str">
        <f>IFERROR(INDEX(Tracker!$G$6:$G$65,MATCH(4,Tracker!$AE$6:$AE$65,0)),"")</f>
        <v/>
      </c>
      <c r="F23" s="58" t="str">
        <f>IFERROR(INDEX(Tracker!$X$6:$X$65,MATCH(4,Tracker!$AE$6:$AE$65,0)),"")</f>
        <v/>
      </c>
      <c r="G23" s="59" t="str">
        <f>IFERROR(INDEX(Tracker!$Y$6:$Y$65,MATCH(4,Tracker!$AE$6:$AE$65,0)),"")</f>
        <v/>
      </c>
      <c r="H23" s="59" t="str">
        <f>IFERROR(INDEX(Tracker!$I$6:$I$65,MATCH(4,Tracker!$AE$6:$AE$65,0)),"")</f>
        <v/>
      </c>
      <c r="I23" s="59" t="str">
        <f>IFERROR(INDEX(Tracker!$J$6:$J$65,MATCH(4,Tracker!$AE$6:$AE$65,0)),"")</f>
        <v/>
      </c>
      <c r="J23" s="32" t="str">
        <f>IFERROR(INDEX(Tracker!$Z$6:$Z$65,MATCH(4,Tracker!$AE$6:$AE$65,0)),"")</f>
        <v/>
      </c>
      <c r="K23" s="15" t="str">
        <f>IFERROR(INDEX(Tracker!$AA$6:$AA$65,MATCH(4,Tracker!$AE$6:$AE$65,0)),"")</f>
        <v/>
      </c>
      <c r="L23" s="35" t="str">
        <f>IF($B23="","",IFERROR(INDEX(Calc!B$6:B$65,MATCH($B23,Calc!$A$6:$A$65,0)),""))</f>
        <v/>
      </c>
      <c r="M23" s="35" t="str">
        <f>IF($B23="","",IFERROR(INDEX(Calc!C$6:C$65,MATCH($B23,Calc!$A$6:$A$65,0)),""))</f>
        <v/>
      </c>
      <c r="N23" s="35" t="str">
        <f>IF($B23="","",IFERROR(INDEX(Calc!D$6:D$65,MATCH($B23,Calc!$A$6:$A$65,0)),""))</f>
        <v/>
      </c>
      <c r="O23" s="35" t="str">
        <f>IF($B23="","",IFERROR(INDEX(Calc!E$6:E$65,MATCH($B23,Calc!$A$6:$A$65,0)),""))</f>
        <v/>
      </c>
      <c r="P23" s="35" t="str">
        <f>IF($B23="","",IFERROR(INDEX(Calc!F$6:F$65,MATCH($B23,Calc!$A$6:$A$65,0)),""))</f>
        <v/>
      </c>
      <c r="Q23" s="35" t="str">
        <f>IF($B23="","",IFERROR(INDEX(Calc!G$6:G$65,MATCH($B23,Calc!$A$6:$A$65,0)),""))</f>
        <v/>
      </c>
      <c r="R23" s="35" t="str">
        <f>IF($B23="","",IFERROR(INDEX(Calc!H$6:H$65,MATCH($B23,Calc!$A$6:$A$65,0)),""))</f>
        <v/>
      </c>
      <c r="S23" s="35" t="str">
        <f>IF($B23="","",IFERROR(INDEX(Calc!I$6:I$65,MATCH($B23,Calc!$A$6:$A$65,0)),""))</f>
        <v/>
      </c>
      <c r="T23" s="35" t="str">
        <f>IF($B23="","",IFERROR(INDEX(Calc!J$6:J$65,MATCH($B23,Calc!$A$6:$A$65,0)),""))</f>
        <v/>
      </c>
      <c r="U23" s="35" t="str">
        <f>IF($B23="","",IFERROR(INDEX(Calc!K$6:K$65,MATCH($B23,Calc!$A$6:$A$65,0)),""))</f>
        <v/>
      </c>
      <c r="V23" s="35" t="str">
        <f>IF($B23="","",IFERROR(INDEX(Calc!L$6:L$65,MATCH($B23,Calc!$A$6:$A$65,0)),""))</f>
        <v/>
      </c>
      <c r="W23" s="35" t="str">
        <f>IF($B23="","",IFERROR(INDEX(Calc!M$6:M$65,MATCH($B23,Calc!$A$6:$A$65,0)),""))</f>
        <v/>
      </c>
      <c r="X23" s="30" t="str">
        <f>IF(B23="","",COUNTIFS(Actions!$B$6:$B$105,B23,Actions!$I$6:$I$105,"Open"))</f>
        <v/>
      </c>
      <c r="Y23" s="15" t="str">
        <f>IF(B23="","",IF(INDEX(Tracker!$AB$6:$AB$65,MATCH(4,Tracker!$AE$6:$AE$65,0))=0,"",INDEX(Tracker!$AB$6:$AB$65,MATCH(4,Tracker!$AE$6:$AE$65,0))))</f>
        <v/>
      </c>
      <c r="Z23" s="57" t="str">
        <f>IFERROR(INDEX(Tracker!$K$6:$K$65,MATCH(4,Tracker!$AE$6:$AE$65,0)),"")</f>
        <v/>
      </c>
    </row>
    <row r="24" spans="1:26" x14ac:dyDescent="0.45">
      <c r="A24" s="49" t="str">
        <f>IF(B24="","",5)</f>
        <v/>
      </c>
      <c r="B24" s="15" t="str">
        <f>IFERROR(INDEX(Tracker!$A$6:$A$65,MATCH(5,Tracker!$AE$6:$AE$65,0)),"")</f>
        <v/>
      </c>
      <c r="C24" s="15" t="str">
        <f>IFERROR(INDEX(Tracker!$B$6:$B$65,MATCH(5,Tracker!$AE$6:$AE$65,0)),"")</f>
        <v/>
      </c>
      <c r="D24" s="15" t="str">
        <f>IFERROR(INDEX(Tracker!$C$6:$C$65,MATCH(5,Tracker!$AE$6:$AE$65,0)),"")</f>
        <v/>
      </c>
      <c r="E24" s="15" t="str">
        <f>IFERROR(INDEX(Tracker!$G$6:$G$65,MATCH(5,Tracker!$AE$6:$AE$65,0)),"")</f>
        <v/>
      </c>
      <c r="F24" s="29" t="str">
        <f>IFERROR(INDEX(Tracker!$X$6:$X$65,MATCH(5,Tracker!$AE$6:$AE$65,0)),"")</f>
        <v/>
      </c>
      <c r="G24" s="15" t="str">
        <f>IFERROR(INDEX(Tracker!$Y$6:$Y$65,MATCH(5,Tracker!$AE$6:$AE$65,0)),"")</f>
        <v/>
      </c>
      <c r="H24" s="15" t="str">
        <f>IFERROR(INDEX(Tracker!$I$6:$I$65,MATCH(5,Tracker!$AE$6:$AE$65,0)),"")</f>
        <v/>
      </c>
      <c r="I24" s="15" t="str">
        <f>IFERROR(INDEX(Tracker!$J$6:$J$65,MATCH(5,Tracker!$AE$6:$AE$65,0)),"")</f>
        <v/>
      </c>
      <c r="J24" s="32" t="str">
        <f>IFERROR(INDEX(Tracker!$Z$6:$Z$65,MATCH(5,Tracker!$AE$6:$AE$65,0)),"")</f>
        <v/>
      </c>
      <c r="K24" s="15" t="str">
        <f>IFERROR(INDEX(Tracker!$AA$6:$AA$65,MATCH(5,Tracker!$AE$6:$AE$65,0)),"")</f>
        <v/>
      </c>
      <c r="L24" s="35" t="str">
        <f>IF($B24="","",IFERROR(INDEX(Calc!B$6:B$65,MATCH($B24,Calc!$A$6:$A$65,0)),""))</f>
        <v/>
      </c>
      <c r="M24" s="35" t="str">
        <f>IF($B24="","",IFERROR(INDEX(Calc!C$6:C$65,MATCH($B24,Calc!$A$6:$A$65,0)),""))</f>
        <v/>
      </c>
      <c r="N24" s="35" t="str">
        <f>IF($B24="","",IFERROR(INDEX(Calc!D$6:D$65,MATCH($B24,Calc!$A$6:$A$65,0)),""))</f>
        <v/>
      </c>
      <c r="O24" s="35" t="str">
        <f>IF($B24="","",IFERROR(INDEX(Calc!E$6:E$65,MATCH($B24,Calc!$A$6:$A$65,0)),""))</f>
        <v/>
      </c>
      <c r="P24" s="35" t="str">
        <f>IF($B24="","",IFERROR(INDEX(Calc!F$6:F$65,MATCH($B24,Calc!$A$6:$A$65,0)),""))</f>
        <v/>
      </c>
      <c r="Q24" s="35" t="str">
        <f>IF($B24="","",IFERROR(INDEX(Calc!G$6:G$65,MATCH($B24,Calc!$A$6:$A$65,0)),""))</f>
        <v/>
      </c>
      <c r="R24" s="35" t="str">
        <f>IF($B24="","",IFERROR(INDEX(Calc!H$6:H$65,MATCH($B24,Calc!$A$6:$A$65,0)),""))</f>
        <v/>
      </c>
      <c r="S24" s="35" t="str">
        <f>IF($B24="","",IFERROR(INDEX(Calc!I$6:I$65,MATCH($B24,Calc!$A$6:$A$65,0)),""))</f>
        <v/>
      </c>
      <c r="T24" s="35" t="str">
        <f>IF($B24="","",IFERROR(INDEX(Calc!J$6:J$65,MATCH($B24,Calc!$A$6:$A$65,0)),""))</f>
        <v/>
      </c>
      <c r="U24" s="35" t="str">
        <f>IF($B24="","",IFERROR(INDEX(Calc!K$6:K$65,MATCH($B24,Calc!$A$6:$A$65,0)),""))</f>
        <v/>
      </c>
      <c r="V24" s="35" t="str">
        <f>IF($B24="","",IFERROR(INDEX(Calc!L$6:L$65,MATCH($B24,Calc!$A$6:$A$65,0)),""))</f>
        <v/>
      </c>
      <c r="W24" s="35" t="str">
        <f>IF($B24="","",IFERROR(INDEX(Calc!M$6:M$65,MATCH($B24,Calc!$A$6:$A$65,0)),""))</f>
        <v/>
      </c>
      <c r="X24" s="30" t="str">
        <f>IF(B24="","",COUNTIFS(Actions!$B$6:$B$105,B24,Actions!$I$6:$I$105,"Open"))</f>
        <v/>
      </c>
      <c r="Y24" s="15" t="str">
        <f>IF(B24="","",IF(INDEX(Tracker!$AB$6:$AB$65,MATCH(5,Tracker!$AE$6:$AE$65,0))=0,"",INDEX(Tracker!$AB$6:$AB$65,MATCH(5,Tracker!$AE$6:$AE$65,0))))</f>
        <v/>
      </c>
      <c r="Z24" s="57" t="str">
        <f>IFERROR(INDEX(Tracker!$K$6:$K$65,MATCH(5,Tracker!$AE$6:$AE$65,0)),"")</f>
        <v/>
      </c>
    </row>
    <row r="25" spans="1:26" x14ac:dyDescent="0.45">
      <c r="A25" s="49" t="str">
        <f>IF(B25="","",6)</f>
        <v/>
      </c>
      <c r="B25" s="15" t="str">
        <f>IFERROR(INDEX(Tracker!$A$6:$A$65,MATCH(6,Tracker!$AE$6:$AE$65,0)),"")</f>
        <v/>
      </c>
      <c r="C25" s="15" t="str">
        <f>IFERROR(INDEX(Tracker!$B$6:$B$65,MATCH(6,Tracker!$AE$6:$AE$65,0)),"")</f>
        <v/>
      </c>
      <c r="D25" s="15" t="str">
        <f>IFERROR(INDEX(Tracker!$C$6:$C$65,MATCH(6,Tracker!$AE$6:$AE$65,0)),"")</f>
        <v/>
      </c>
      <c r="E25" s="15" t="str">
        <f>IFERROR(INDEX(Tracker!$G$6:$G$65,MATCH(6,Tracker!$AE$6:$AE$65,0)),"")</f>
        <v/>
      </c>
      <c r="F25" s="29" t="str">
        <f>IFERROR(INDEX(Tracker!$X$6:$X$65,MATCH(6,Tracker!$AE$6:$AE$65,0)),"")</f>
        <v/>
      </c>
      <c r="G25" s="15" t="str">
        <f>IFERROR(INDEX(Tracker!$Y$6:$Y$65,MATCH(6,Tracker!$AE$6:$AE$65,0)),"")</f>
        <v/>
      </c>
      <c r="H25" s="15" t="str">
        <f>IFERROR(INDEX(Tracker!$I$6:$I$65,MATCH(6,Tracker!$AE$6:$AE$65,0)),"")</f>
        <v/>
      </c>
      <c r="I25" s="15" t="str">
        <f>IFERROR(INDEX(Tracker!$J$6:$J$65,MATCH(6,Tracker!$AE$6:$AE$65,0)),"")</f>
        <v/>
      </c>
      <c r="J25" s="32" t="str">
        <f>IFERROR(INDEX(Tracker!$Z$6:$Z$65,MATCH(6,Tracker!$AE$6:$AE$65,0)),"")</f>
        <v/>
      </c>
      <c r="K25" s="15" t="str">
        <f>IFERROR(INDEX(Tracker!$AA$6:$AA$65,MATCH(6,Tracker!$AE$6:$AE$65,0)),"")</f>
        <v/>
      </c>
      <c r="L25" s="35" t="str">
        <f>IF($B25="","",IFERROR(INDEX(Calc!B$6:B$65,MATCH($B25,Calc!$A$6:$A$65,0)),""))</f>
        <v/>
      </c>
      <c r="M25" s="35" t="str">
        <f>IF($B25="","",IFERROR(INDEX(Calc!C$6:C$65,MATCH($B25,Calc!$A$6:$A$65,0)),""))</f>
        <v/>
      </c>
      <c r="N25" s="35" t="str">
        <f>IF($B25="","",IFERROR(INDEX(Calc!D$6:D$65,MATCH($B25,Calc!$A$6:$A$65,0)),""))</f>
        <v/>
      </c>
      <c r="O25" s="35" t="str">
        <f>IF($B25="","",IFERROR(INDEX(Calc!E$6:E$65,MATCH($B25,Calc!$A$6:$A$65,0)),""))</f>
        <v/>
      </c>
      <c r="P25" s="35" t="str">
        <f>IF($B25="","",IFERROR(INDEX(Calc!F$6:F$65,MATCH($B25,Calc!$A$6:$A$65,0)),""))</f>
        <v/>
      </c>
      <c r="Q25" s="35" t="str">
        <f>IF($B25="","",IFERROR(INDEX(Calc!G$6:G$65,MATCH($B25,Calc!$A$6:$A$65,0)),""))</f>
        <v/>
      </c>
      <c r="R25" s="35" t="str">
        <f>IF($B25="","",IFERROR(INDEX(Calc!H$6:H$65,MATCH($B25,Calc!$A$6:$A$65,0)),""))</f>
        <v/>
      </c>
      <c r="S25" s="35" t="str">
        <f>IF($B25="","",IFERROR(INDEX(Calc!I$6:I$65,MATCH($B25,Calc!$A$6:$A$65,0)),""))</f>
        <v/>
      </c>
      <c r="T25" s="35" t="str">
        <f>IF($B25="","",IFERROR(INDEX(Calc!J$6:J$65,MATCH($B25,Calc!$A$6:$A$65,0)),""))</f>
        <v/>
      </c>
      <c r="U25" s="35" t="str">
        <f>IF($B25="","",IFERROR(INDEX(Calc!K$6:K$65,MATCH($B25,Calc!$A$6:$A$65,0)),""))</f>
        <v/>
      </c>
      <c r="V25" s="35" t="str">
        <f>IF($B25="","",IFERROR(INDEX(Calc!L$6:L$65,MATCH($B25,Calc!$A$6:$A$65,0)),""))</f>
        <v/>
      </c>
      <c r="W25" s="35" t="str">
        <f>IF($B25="","",IFERROR(INDEX(Calc!M$6:M$65,MATCH($B25,Calc!$A$6:$A$65,0)),""))</f>
        <v/>
      </c>
      <c r="X25" s="30" t="str">
        <f>IF(B25="","",COUNTIFS(Actions!$B$6:$B$105,B25,Actions!$I$6:$I$105,"Open"))</f>
        <v/>
      </c>
      <c r="Y25" s="15" t="str">
        <f>IF(B25="","",IF(INDEX(Tracker!$AB$6:$AB$65,MATCH(6,Tracker!$AE$6:$AE$65,0))=0,"",INDEX(Tracker!$AB$6:$AB$65,MATCH(6,Tracker!$AE$6:$AE$65,0))))</f>
        <v/>
      </c>
      <c r="Z25" s="57" t="str">
        <f>IFERROR(INDEX(Tracker!$K$6:$K$65,MATCH(6,Tracker!$AE$6:$AE$65,0)),"")</f>
        <v/>
      </c>
    </row>
    <row r="26" spans="1:26" x14ac:dyDescent="0.45">
      <c r="A26" s="49" t="str">
        <f>IF(B26="","",7)</f>
        <v/>
      </c>
      <c r="B26" s="15" t="str">
        <f>IFERROR(INDEX(Tracker!$A$6:$A$65,MATCH(7,Tracker!$AE$6:$AE$65,0)),"")</f>
        <v/>
      </c>
      <c r="C26" s="15" t="str">
        <f>IFERROR(INDEX(Tracker!$B$6:$B$65,MATCH(7,Tracker!$AE$6:$AE$65,0)),"")</f>
        <v/>
      </c>
      <c r="D26" s="15" t="str">
        <f>IFERROR(INDEX(Tracker!$C$6:$C$65,MATCH(7,Tracker!$AE$6:$AE$65,0)),"")</f>
        <v/>
      </c>
      <c r="E26" s="15" t="str">
        <f>IFERROR(INDEX(Tracker!$G$6:$G$65,MATCH(7,Tracker!$AE$6:$AE$65,0)),"")</f>
        <v/>
      </c>
      <c r="F26" s="29" t="str">
        <f>IFERROR(INDEX(Tracker!$X$6:$X$65,MATCH(7,Tracker!$AE$6:$AE$65,0)),"")</f>
        <v/>
      </c>
      <c r="G26" s="15" t="str">
        <f>IFERROR(INDEX(Tracker!$Y$6:$Y$65,MATCH(7,Tracker!$AE$6:$AE$65,0)),"")</f>
        <v/>
      </c>
      <c r="H26" s="15" t="str">
        <f>IFERROR(INDEX(Tracker!$I$6:$I$65,MATCH(7,Tracker!$AE$6:$AE$65,0)),"")</f>
        <v/>
      </c>
      <c r="I26" s="15" t="str">
        <f>IFERROR(INDEX(Tracker!$J$6:$J$65,MATCH(7,Tracker!$AE$6:$AE$65,0)),"")</f>
        <v/>
      </c>
      <c r="J26" s="32" t="str">
        <f>IFERROR(INDEX(Tracker!$Z$6:$Z$65,MATCH(7,Tracker!$AE$6:$AE$65,0)),"")</f>
        <v/>
      </c>
      <c r="K26" s="15" t="str">
        <f>IFERROR(INDEX(Tracker!$AA$6:$AA$65,MATCH(7,Tracker!$AE$6:$AE$65,0)),"")</f>
        <v/>
      </c>
      <c r="L26" s="35" t="str">
        <f>IF($B26="","",IFERROR(INDEX(Calc!B$6:B$65,MATCH($B26,Calc!$A$6:$A$65,0)),""))</f>
        <v/>
      </c>
      <c r="M26" s="35" t="str">
        <f>IF($B26="","",IFERROR(INDEX(Calc!C$6:C$65,MATCH($B26,Calc!$A$6:$A$65,0)),""))</f>
        <v/>
      </c>
      <c r="N26" s="35" t="str">
        <f>IF($B26="","",IFERROR(INDEX(Calc!D$6:D$65,MATCH($B26,Calc!$A$6:$A$65,0)),""))</f>
        <v/>
      </c>
      <c r="O26" s="35" t="str">
        <f>IF($B26="","",IFERROR(INDEX(Calc!E$6:E$65,MATCH($B26,Calc!$A$6:$A$65,0)),""))</f>
        <v/>
      </c>
      <c r="P26" s="35" t="str">
        <f>IF($B26="","",IFERROR(INDEX(Calc!F$6:F$65,MATCH($B26,Calc!$A$6:$A$65,0)),""))</f>
        <v/>
      </c>
      <c r="Q26" s="35" t="str">
        <f>IF($B26="","",IFERROR(INDEX(Calc!G$6:G$65,MATCH($B26,Calc!$A$6:$A$65,0)),""))</f>
        <v/>
      </c>
      <c r="R26" s="35" t="str">
        <f>IF($B26="","",IFERROR(INDEX(Calc!H$6:H$65,MATCH($B26,Calc!$A$6:$A$65,0)),""))</f>
        <v/>
      </c>
      <c r="S26" s="35" t="str">
        <f>IF($B26="","",IFERROR(INDEX(Calc!I$6:I$65,MATCH($B26,Calc!$A$6:$A$65,0)),""))</f>
        <v/>
      </c>
      <c r="T26" s="35" t="str">
        <f>IF($B26="","",IFERROR(INDEX(Calc!J$6:J$65,MATCH($B26,Calc!$A$6:$A$65,0)),""))</f>
        <v/>
      </c>
      <c r="U26" s="35" t="str">
        <f>IF($B26="","",IFERROR(INDEX(Calc!K$6:K$65,MATCH($B26,Calc!$A$6:$A$65,0)),""))</f>
        <v/>
      </c>
      <c r="V26" s="35" t="str">
        <f>IF($B26="","",IFERROR(INDEX(Calc!L$6:L$65,MATCH($B26,Calc!$A$6:$A$65,0)),""))</f>
        <v/>
      </c>
      <c r="W26" s="35" t="str">
        <f>IF($B26="","",IFERROR(INDEX(Calc!M$6:M$65,MATCH($B26,Calc!$A$6:$A$65,0)),""))</f>
        <v/>
      </c>
      <c r="X26" s="30" t="str">
        <f>IF(B26="","",COUNTIFS(Actions!$B$6:$B$105,B26,Actions!$I$6:$I$105,"Open"))</f>
        <v/>
      </c>
      <c r="Y26" s="15" t="str">
        <f>IF(B26="","",IF(INDEX(Tracker!$AB$6:$AB$65,MATCH(7,Tracker!$AE$6:$AE$65,0))=0,"",INDEX(Tracker!$AB$6:$AB$65,MATCH(7,Tracker!$AE$6:$AE$65,0))))</f>
        <v/>
      </c>
      <c r="Z26" s="57" t="str">
        <f>IFERROR(INDEX(Tracker!$K$6:$K$65,MATCH(7,Tracker!$AE$6:$AE$65,0)),"")</f>
        <v/>
      </c>
    </row>
    <row r="27" spans="1:26" x14ac:dyDescent="0.45">
      <c r="A27" s="49" t="str">
        <f>IF(B27="","",8)</f>
        <v/>
      </c>
      <c r="B27" s="15" t="str">
        <f>IFERROR(INDEX(Tracker!$A$6:$A$65,MATCH(8,Tracker!$AE$6:$AE$65,0)),"")</f>
        <v/>
      </c>
      <c r="C27" s="15" t="str">
        <f>IFERROR(INDEX(Tracker!$B$6:$B$65,MATCH(8,Tracker!$AE$6:$AE$65,0)),"")</f>
        <v/>
      </c>
      <c r="D27" s="15" t="str">
        <f>IFERROR(INDEX(Tracker!$C$6:$C$65,MATCH(8,Tracker!$AE$6:$AE$65,0)),"")</f>
        <v/>
      </c>
      <c r="E27" s="15" t="str">
        <f>IFERROR(INDEX(Tracker!$G$6:$G$65,MATCH(8,Tracker!$AE$6:$AE$65,0)),"")</f>
        <v/>
      </c>
      <c r="F27" s="29" t="str">
        <f>IFERROR(INDEX(Tracker!$X$6:$X$65,MATCH(8,Tracker!$AE$6:$AE$65,0)),"")</f>
        <v/>
      </c>
      <c r="G27" s="15" t="str">
        <f>IFERROR(INDEX(Tracker!$Y$6:$Y$65,MATCH(8,Tracker!$AE$6:$AE$65,0)),"")</f>
        <v/>
      </c>
      <c r="H27" s="15" t="str">
        <f>IFERROR(INDEX(Tracker!$I$6:$I$65,MATCH(8,Tracker!$AE$6:$AE$65,0)),"")</f>
        <v/>
      </c>
      <c r="I27" s="15" t="str">
        <f>IFERROR(INDEX(Tracker!$J$6:$J$65,MATCH(8,Tracker!$AE$6:$AE$65,0)),"")</f>
        <v/>
      </c>
      <c r="J27" s="32" t="str">
        <f>IFERROR(INDEX(Tracker!$Z$6:$Z$65,MATCH(8,Tracker!$AE$6:$AE$65,0)),"")</f>
        <v/>
      </c>
      <c r="K27" s="15" t="str">
        <f>IFERROR(INDEX(Tracker!$AA$6:$AA$65,MATCH(8,Tracker!$AE$6:$AE$65,0)),"")</f>
        <v/>
      </c>
      <c r="L27" s="35" t="str">
        <f>IF($B27="","",IFERROR(INDEX(Calc!B$6:B$65,MATCH($B27,Calc!$A$6:$A$65,0)),""))</f>
        <v/>
      </c>
      <c r="M27" s="35" t="str">
        <f>IF($B27="","",IFERROR(INDEX(Calc!C$6:C$65,MATCH($B27,Calc!$A$6:$A$65,0)),""))</f>
        <v/>
      </c>
      <c r="N27" s="35" t="str">
        <f>IF($B27="","",IFERROR(INDEX(Calc!D$6:D$65,MATCH($B27,Calc!$A$6:$A$65,0)),""))</f>
        <v/>
      </c>
      <c r="O27" s="35" t="str">
        <f>IF($B27="","",IFERROR(INDEX(Calc!E$6:E$65,MATCH($B27,Calc!$A$6:$A$65,0)),""))</f>
        <v/>
      </c>
      <c r="P27" s="35" t="str">
        <f>IF($B27="","",IFERROR(INDEX(Calc!F$6:F$65,MATCH($B27,Calc!$A$6:$A$65,0)),""))</f>
        <v/>
      </c>
      <c r="Q27" s="35" t="str">
        <f>IF($B27="","",IFERROR(INDEX(Calc!G$6:G$65,MATCH($B27,Calc!$A$6:$A$65,0)),""))</f>
        <v/>
      </c>
      <c r="R27" s="35" t="str">
        <f>IF($B27="","",IFERROR(INDEX(Calc!H$6:H$65,MATCH($B27,Calc!$A$6:$A$65,0)),""))</f>
        <v/>
      </c>
      <c r="S27" s="35" t="str">
        <f>IF($B27="","",IFERROR(INDEX(Calc!I$6:I$65,MATCH($B27,Calc!$A$6:$A$65,0)),""))</f>
        <v/>
      </c>
      <c r="T27" s="35" t="str">
        <f>IF($B27="","",IFERROR(INDEX(Calc!J$6:J$65,MATCH($B27,Calc!$A$6:$A$65,0)),""))</f>
        <v/>
      </c>
      <c r="U27" s="35" t="str">
        <f>IF($B27="","",IFERROR(INDEX(Calc!K$6:K$65,MATCH($B27,Calc!$A$6:$A$65,0)),""))</f>
        <v/>
      </c>
      <c r="V27" s="35" t="str">
        <f>IF($B27="","",IFERROR(INDEX(Calc!L$6:L$65,MATCH($B27,Calc!$A$6:$A$65,0)),""))</f>
        <v/>
      </c>
      <c r="W27" s="35" t="str">
        <f>IF($B27="","",IFERROR(INDEX(Calc!M$6:M$65,MATCH($B27,Calc!$A$6:$A$65,0)),""))</f>
        <v/>
      </c>
      <c r="X27" s="30" t="str">
        <f>IF(B27="","",COUNTIFS(Actions!$B$6:$B$105,B27,Actions!$I$6:$I$105,"Open"))</f>
        <v/>
      </c>
      <c r="Y27" s="15" t="str">
        <f>IF(B27="","",IF(INDEX(Tracker!$AB$6:$AB$65,MATCH(8,Tracker!$AE$6:$AE$65,0))=0,"",INDEX(Tracker!$AB$6:$AB$65,MATCH(8,Tracker!$AE$6:$AE$65,0))))</f>
        <v/>
      </c>
      <c r="Z27" s="57" t="str">
        <f>IFERROR(INDEX(Tracker!$K$6:$K$65,MATCH(8,Tracker!$AE$6:$AE$65,0)),"")</f>
        <v/>
      </c>
    </row>
    <row r="28" spans="1:26" x14ac:dyDescent="0.45">
      <c r="A28" s="49" t="str">
        <f>IF(B28="","",9)</f>
        <v/>
      </c>
      <c r="B28" s="15" t="str">
        <f>IFERROR(INDEX(Tracker!$A$6:$A$65,MATCH(9,Tracker!$AE$6:$AE$65,0)),"")</f>
        <v/>
      </c>
      <c r="C28" s="15" t="str">
        <f>IFERROR(INDEX(Tracker!$B$6:$B$65,MATCH(9,Tracker!$AE$6:$AE$65,0)),"")</f>
        <v/>
      </c>
      <c r="D28" s="15" t="str">
        <f>IFERROR(INDEX(Tracker!$C$6:$C$65,MATCH(9,Tracker!$AE$6:$AE$65,0)),"")</f>
        <v/>
      </c>
      <c r="E28" s="15" t="str">
        <f>IFERROR(INDEX(Tracker!$G$6:$G$65,MATCH(9,Tracker!$AE$6:$AE$65,0)),"")</f>
        <v/>
      </c>
      <c r="F28" s="29" t="str">
        <f>IFERROR(INDEX(Tracker!$X$6:$X$65,MATCH(9,Tracker!$AE$6:$AE$65,0)),"")</f>
        <v/>
      </c>
      <c r="G28" s="15" t="str">
        <f>IFERROR(INDEX(Tracker!$Y$6:$Y$65,MATCH(9,Tracker!$AE$6:$AE$65,0)),"")</f>
        <v/>
      </c>
      <c r="H28" s="15" t="str">
        <f>IFERROR(INDEX(Tracker!$I$6:$I$65,MATCH(9,Tracker!$AE$6:$AE$65,0)),"")</f>
        <v/>
      </c>
      <c r="I28" s="15" t="str">
        <f>IFERROR(INDEX(Tracker!$J$6:$J$65,MATCH(9,Tracker!$AE$6:$AE$65,0)),"")</f>
        <v/>
      </c>
      <c r="J28" s="32" t="str">
        <f>IFERROR(INDEX(Tracker!$Z$6:$Z$65,MATCH(9,Tracker!$AE$6:$AE$65,0)),"")</f>
        <v/>
      </c>
      <c r="K28" s="15" t="str">
        <f>IFERROR(INDEX(Tracker!$AA$6:$AA$65,MATCH(9,Tracker!$AE$6:$AE$65,0)),"")</f>
        <v/>
      </c>
      <c r="L28" s="35" t="str">
        <f>IF($B28="","",IFERROR(INDEX(Calc!B$6:B$65,MATCH($B28,Calc!$A$6:$A$65,0)),""))</f>
        <v/>
      </c>
      <c r="M28" s="35" t="str">
        <f>IF($B28="","",IFERROR(INDEX(Calc!C$6:C$65,MATCH($B28,Calc!$A$6:$A$65,0)),""))</f>
        <v/>
      </c>
      <c r="N28" s="35" t="str">
        <f>IF($B28="","",IFERROR(INDEX(Calc!D$6:D$65,MATCH($B28,Calc!$A$6:$A$65,0)),""))</f>
        <v/>
      </c>
      <c r="O28" s="35" t="str">
        <f>IF($B28="","",IFERROR(INDEX(Calc!E$6:E$65,MATCH($B28,Calc!$A$6:$A$65,0)),""))</f>
        <v/>
      </c>
      <c r="P28" s="35" t="str">
        <f>IF($B28="","",IFERROR(INDEX(Calc!F$6:F$65,MATCH($B28,Calc!$A$6:$A$65,0)),""))</f>
        <v/>
      </c>
      <c r="Q28" s="35" t="str">
        <f>IF($B28="","",IFERROR(INDEX(Calc!G$6:G$65,MATCH($B28,Calc!$A$6:$A$65,0)),""))</f>
        <v/>
      </c>
      <c r="R28" s="35" t="str">
        <f>IF($B28="","",IFERROR(INDEX(Calc!H$6:H$65,MATCH($B28,Calc!$A$6:$A$65,0)),""))</f>
        <v/>
      </c>
      <c r="S28" s="35" t="str">
        <f>IF($B28="","",IFERROR(INDEX(Calc!I$6:I$65,MATCH($B28,Calc!$A$6:$A$65,0)),""))</f>
        <v/>
      </c>
      <c r="T28" s="35" t="str">
        <f>IF($B28="","",IFERROR(INDEX(Calc!J$6:J$65,MATCH($B28,Calc!$A$6:$A$65,0)),""))</f>
        <v/>
      </c>
      <c r="U28" s="35" t="str">
        <f>IF($B28="","",IFERROR(INDEX(Calc!K$6:K$65,MATCH($B28,Calc!$A$6:$A$65,0)),""))</f>
        <v/>
      </c>
      <c r="V28" s="35" t="str">
        <f>IF($B28="","",IFERROR(INDEX(Calc!L$6:L$65,MATCH($B28,Calc!$A$6:$A$65,0)),""))</f>
        <v/>
      </c>
      <c r="W28" s="35" t="str">
        <f>IF($B28="","",IFERROR(INDEX(Calc!M$6:M$65,MATCH($B28,Calc!$A$6:$A$65,0)),""))</f>
        <v/>
      </c>
      <c r="X28" s="30" t="str">
        <f>IF(B28="","",COUNTIFS(Actions!$B$6:$B$105,B28,Actions!$I$6:$I$105,"Open"))</f>
        <v/>
      </c>
      <c r="Y28" s="15" t="str">
        <f>IF(B28="","",IF(INDEX(Tracker!$AB$6:$AB$65,MATCH(9,Tracker!$AE$6:$AE$65,0))=0,"",INDEX(Tracker!$AB$6:$AB$65,MATCH(9,Tracker!$AE$6:$AE$65,0))))</f>
        <v/>
      </c>
      <c r="Z28" s="57" t="str">
        <f>IFERROR(INDEX(Tracker!$K$6:$K$65,MATCH(9,Tracker!$AE$6:$AE$65,0)),"")</f>
        <v/>
      </c>
    </row>
    <row r="29" spans="1:26" x14ac:dyDescent="0.45">
      <c r="A29" s="49" t="str">
        <f>IF(B29="","",10)</f>
        <v/>
      </c>
      <c r="B29" s="15" t="str">
        <f>IFERROR(INDEX(Tracker!$A$6:$A$65,MATCH(10,Tracker!$AE$6:$AE$65,0)),"")</f>
        <v/>
      </c>
      <c r="C29" s="15" t="str">
        <f>IFERROR(INDEX(Tracker!$B$6:$B$65,MATCH(10,Tracker!$AE$6:$AE$65,0)),"")</f>
        <v/>
      </c>
      <c r="D29" s="15" t="str">
        <f>IFERROR(INDEX(Tracker!$C$6:$C$65,MATCH(10,Tracker!$AE$6:$AE$65,0)),"")</f>
        <v/>
      </c>
      <c r="E29" s="15" t="str">
        <f>IFERROR(INDEX(Tracker!$G$6:$G$65,MATCH(10,Tracker!$AE$6:$AE$65,0)),"")</f>
        <v/>
      </c>
      <c r="F29" s="29" t="str">
        <f>IFERROR(INDEX(Tracker!$X$6:$X$65,MATCH(10,Tracker!$AE$6:$AE$65,0)),"")</f>
        <v/>
      </c>
      <c r="G29" s="15" t="str">
        <f>IFERROR(INDEX(Tracker!$Y$6:$Y$65,MATCH(10,Tracker!$AE$6:$AE$65,0)),"")</f>
        <v/>
      </c>
      <c r="H29" s="15" t="str">
        <f>IFERROR(INDEX(Tracker!$I$6:$I$65,MATCH(10,Tracker!$AE$6:$AE$65,0)),"")</f>
        <v/>
      </c>
      <c r="I29" s="15" t="str">
        <f>IFERROR(INDEX(Tracker!$J$6:$J$65,MATCH(10,Tracker!$AE$6:$AE$65,0)),"")</f>
        <v/>
      </c>
      <c r="J29" s="32" t="str">
        <f>IFERROR(INDEX(Tracker!$Z$6:$Z$65,MATCH(10,Tracker!$AE$6:$AE$65,0)),"")</f>
        <v/>
      </c>
      <c r="K29" s="15" t="str">
        <f>IFERROR(INDEX(Tracker!$AA$6:$AA$65,MATCH(10,Tracker!$AE$6:$AE$65,0)),"")</f>
        <v/>
      </c>
      <c r="L29" s="35" t="str">
        <f>IF($B29="","",IFERROR(INDEX(Calc!B$6:B$65,MATCH($B29,Calc!$A$6:$A$65,0)),""))</f>
        <v/>
      </c>
      <c r="M29" s="35" t="str">
        <f>IF($B29="","",IFERROR(INDEX(Calc!C$6:C$65,MATCH($B29,Calc!$A$6:$A$65,0)),""))</f>
        <v/>
      </c>
      <c r="N29" s="35" t="str">
        <f>IF($B29="","",IFERROR(INDEX(Calc!D$6:D$65,MATCH($B29,Calc!$A$6:$A$65,0)),""))</f>
        <v/>
      </c>
      <c r="O29" s="35" t="str">
        <f>IF($B29="","",IFERROR(INDEX(Calc!E$6:E$65,MATCH($B29,Calc!$A$6:$A$65,0)),""))</f>
        <v/>
      </c>
      <c r="P29" s="35" t="str">
        <f>IF($B29="","",IFERROR(INDEX(Calc!F$6:F$65,MATCH($B29,Calc!$A$6:$A$65,0)),""))</f>
        <v/>
      </c>
      <c r="Q29" s="35" t="str">
        <f>IF($B29="","",IFERROR(INDEX(Calc!G$6:G$65,MATCH($B29,Calc!$A$6:$A$65,0)),""))</f>
        <v/>
      </c>
      <c r="R29" s="35" t="str">
        <f>IF($B29="","",IFERROR(INDEX(Calc!H$6:H$65,MATCH($B29,Calc!$A$6:$A$65,0)),""))</f>
        <v/>
      </c>
      <c r="S29" s="35" t="str">
        <f>IF($B29="","",IFERROR(INDEX(Calc!I$6:I$65,MATCH($B29,Calc!$A$6:$A$65,0)),""))</f>
        <v/>
      </c>
      <c r="T29" s="35" t="str">
        <f>IF($B29="","",IFERROR(INDEX(Calc!J$6:J$65,MATCH($B29,Calc!$A$6:$A$65,0)),""))</f>
        <v/>
      </c>
      <c r="U29" s="35" t="str">
        <f>IF($B29="","",IFERROR(INDEX(Calc!K$6:K$65,MATCH($B29,Calc!$A$6:$A$65,0)),""))</f>
        <v/>
      </c>
      <c r="V29" s="35" t="str">
        <f>IF($B29="","",IFERROR(INDEX(Calc!L$6:L$65,MATCH($B29,Calc!$A$6:$A$65,0)),""))</f>
        <v/>
      </c>
      <c r="W29" s="35" t="str">
        <f>IF($B29="","",IFERROR(INDEX(Calc!M$6:M$65,MATCH($B29,Calc!$A$6:$A$65,0)),""))</f>
        <v/>
      </c>
      <c r="X29" s="30" t="str">
        <f>IF(B29="","",COUNTIFS(Actions!$B$6:$B$105,B29,Actions!$I$6:$I$105,"Open"))</f>
        <v/>
      </c>
      <c r="Y29" s="15" t="str">
        <f>IF(B29="","",IF(INDEX(Tracker!$AB$6:$AB$65,MATCH(10,Tracker!$AE$6:$AE$65,0))=0,"",INDEX(Tracker!$AB$6:$AB$65,MATCH(10,Tracker!$AE$6:$AE$65,0))))</f>
        <v/>
      </c>
      <c r="Z29" s="57" t="str">
        <f>IFERROR(INDEX(Tracker!$K$6:$K$65,MATCH(10,Tracker!$AE$6:$AE$65,0)),"")</f>
        <v/>
      </c>
    </row>
    <row r="30" spans="1:26" x14ac:dyDescent="0.45">
      <c r="A30" s="49" t="str">
        <f>IF(B30="","",11)</f>
        <v/>
      </c>
      <c r="B30" s="15" t="str">
        <f>IFERROR(INDEX(Tracker!$A$6:$A$65,MATCH(11,Tracker!$AE$6:$AE$65,0)),"")</f>
        <v/>
      </c>
      <c r="C30" s="15" t="str">
        <f>IFERROR(INDEX(Tracker!$B$6:$B$65,MATCH(11,Tracker!$AE$6:$AE$65,0)),"")</f>
        <v/>
      </c>
      <c r="D30" s="15" t="str">
        <f>IFERROR(INDEX(Tracker!$C$6:$C$65,MATCH(11,Tracker!$AE$6:$AE$65,0)),"")</f>
        <v/>
      </c>
      <c r="E30" s="15" t="str">
        <f>IFERROR(INDEX(Tracker!$G$6:$G$65,MATCH(11,Tracker!$AE$6:$AE$65,0)),"")</f>
        <v/>
      </c>
      <c r="F30" s="29" t="str">
        <f>IFERROR(INDEX(Tracker!$X$6:$X$65,MATCH(11,Tracker!$AE$6:$AE$65,0)),"")</f>
        <v/>
      </c>
      <c r="G30" s="15" t="str">
        <f>IFERROR(INDEX(Tracker!$Y$6:$Y$65,MATCH(11,Tracker!$AE$6:$AE$65,0)),"")</f>
        <v/>
      </c>
      <c r="H30" s="15" t="str">
        <f>IFERROR(INDEX(Tracker!$I$6:$I$65,MATCH(11,Tracker!$AE$6:$AE$65,0)),"")</f>
        <v/>
      </c>
      <c r="I30" s="15" t="str">
        <f>IFERROR(INDEX(Tracker!$J$6:$J$65,MATCH(11,Tracker!$AE$6:$AE$65,0)),"")</f>
        <v/>
      </c>
      <c r="J30" s="32" t="str">
        <f>IFERROR(INDEX(Tracker!$Z$6:$Z$65,MATCH(11,Tracker!$AE$6:$AE$65,0)),"")</f>
        <v/>
      </c>
      <c r="K30" s="15" t="str">
        <f>IFERROR(INDEX(Tracker!$AA$6:$AA$65,MATCH(11,Tracker!$AE$6:$AE$65,0)),"")</f>
        <v/>
      </c>
      <c r="L30" s="35" t="str">
        <f>IF($B30="","",IFERROR(INDEX(Calc!B$6:B$65,MATCH($B30,Calc!$A$6:$A$65,0)),""))</f>
        <v/>
      </c>
      <c r="M30" s="35" t="str">
        <f>IF($B30="","",IFERROR(INDEX(Calc!C$6:C$65,MATCH($B30,Calc!$A$6:$A$65,0)),""))</f>
        <v/>
      </c>
      <c r="N30" s="35" t="str">
        <f>IF($B30="","",IFERROR(INDEX(Calc!D$6:D$65,MATCH($B30,Calc!$A$6:$A$65,0)),""))</f>
        <v/>
      </c>
      <c r="O30" s="35" t="str">
        <f>IF($B30="","",IFERROR(INDEX(Calc!E$6:E$65,MATCH($B30,Calc!$A$6:$A$65,0)),""))</f>
        <v/>
      </c>
      <c r="P30" s="35" t="str">
        <f>IF($B30="","",IFERROR(INDEX(Calc!F$6:F$65,MATCH($B30,Calc!$A$6:$A$65,0)),""))</f>
        <v/>
      </c>
      <c r="Q30" s="35" t="str">
        <f>IF($B30="","",IFERROR(INDEX(Calc!G$6:G$65,MATCH($B30,Calc!$A$6:$A$65,0)),""))</f>
        <v/>
      </c>
      <c r="R30" s="35" t="str">
        <f>IF($B30="","",IFERROR(INDEX(Calc!H$6:H$65,MATCH($B30,Calc!$A$6:$A$65,0)),""))</f>
        <v/>
      </c>
      <c r="S30" s="35" t="str">
        <f>IF($B30="","",IFERROR(INDEX(Calc!I$6:I$65,MATCH($B30,Calc!$A$6:$A$65,0)),""))</f>
        <v/>
      </c>
      <c r="T30" s="35" t="str">
        <f>IF($B30="","",IFERROR(INDEX(Calc!J$6:J$65,MATCH($B30,Calc!$A$6:$A$65,0)),""))</f>
        <v/>
      </c>
      <c r="U30" s="35" t="str">
        <f>IF($B30="","",IFERROR(INDEX(Calc!K$6:K$65,MATCH($B30,Calc!$A$6:$A$65,0)),""))</f>
        <v/>
      </c>
      <c r="V30" s="35" t="str">
        <f>IF($B30="","",IFERROR(INDEX(Calc!L$6:L$65,MATCH($B30,Calc!$A$6:$A$65,0)),""))</f>
        <v/>
      </c>
      <c r="W30" s="35" t="str">
        <f>IF($B30="","",IFERROR(INDEX(Calc!M$6:M$65,MATCH($B30,Calc!$A$6:$A$65,0)),""))</f>
        <v/>
      </c>
      <c r="X30" s="30" t="str">
        <f>IF(B30="","",COUNTIFS(Actions!$B$6:$B$105,B30,Actions!$I$6:$I$105,"Open"))</f>
        <v/>
      </c>
      <c r="Y30" s="15" t="str">
        <f>IF(B30="","",IF(INDEX(Tracker!$AB$6:$AB$65,MATCH(11,Tracker!$AE$6:$AE$65,0))=0,"",INDEX(Tracker!$AB$6:$AB$65,MATCH(11,Tracker!$AE$6:$AE$65,0))))</f>
        <v/>
      </c>
      <c r="Z30" s="57" t="str">
        <f>IFERROR(INDEX(Tracker!$K$6:$K$65,MATCH(11,Tracker!$AE$6:$AE$65,0)),"")</f>
        <v/>
      </c>
    </row>
    <row r="31" spans="1:26" x14ac:dyDescent="0.45">
      <c r="A31" s="49" t="str">
        <f>IF(B31="","",12)</f>
        <v/>
      </c>
      <c r="B31" s="15" t="str">
        <f>IFERROR(INDEX(Tracker!$A$6:$A$65,MATCH(12,Tracker!$AE$6:$AE$65,0)),"")</f>
        <v/>
      </c>
      <c r="C31" s="15" t="str">
        <f>IFERROR(INDEX(Tracker!$B$6:$B$65,MATCH(12,Tracker!$AE$6:$AE$65,0)),"")</f>
        <v/>
      </c>
      <c r="D31" s="15" t="str">
        <f>IFERROR(INDEX(Tracker!$C$6:$C$65,MATCH(12,Tracker!$AE$6:$AE$65,0)),"")</f>
        <v/>
      </c>
      <c r="E31" s="15" t="str">
        <f>IFERROR(INDEX(Tracker!$G$6:$G$65,MATCH(12,Tracker!$AE$6:$AE$65,0)),"")</f>
        <v/>
      </c>
      <c r="F31" s="29" t="str">
        <f>IFERROR(INDEX(Tracker!$X$6:$X$65,MATCH(12,Tracker!$AE$6:$AE$65,0)),"")</f>
        <v/>
      </c>
      <c r="G31" s="15" t="str">
        <f>IFERROR(INDEX(Tracker!$Y$6:$Y$65,MATCH(12,Tracker!$AE$6:$AE$65,0)),"")</f>
        <v/>
      </c>
      <c r="H31" s="15" t="str">
        <f>IFERROR(INDEX(Tracker!$I$6:$I$65,MATCH(12,Tracker!$AE$6:$AE$65,0)),"")</f>
        <v/>
      </c>
      <c r="I31" s="15" t="str">
        <f>IFERROR(INDEX(Tracker!$J$6:$J$65,MATCH(12,Tracker!$AE$6:$AE$65,0)),"")</f>
        <v/>
      </c>
      <c r="J31" s="32" t="str">
        <f>IFERROR(INDEX(Tracker!$Z$6:$Z$65,MATCH(12,Tracker!$AE$6:$AE$65,0)),"")</f>
        <v/>
      </c>
      <c r="K31" s="15" t="str">
        <f>IFERROR(INDEX(Tracker!$AA$6:$AA$65,MATCH(12,Tracker!$AE$6:$AE$65,0)),"")</f>
        <v/>
      </c>
      <c r="L31" s="35" t="str">
        <f>IF($B31="","",IFERROR(INDEX(Calc!B$6:B$65,MATCH($B31,Calc!$A$6:$A$65,0)),""))</f>
        <v/>
      </c>
      <c r="M31" s="35" t="str">
        <f>IF($B31="","",IFERROR(INDEX(Calc!C$6:C$65,MATCH($B31,Calc!$A$6:$A$65,0)),""))</f>
        <v/>
      </c>
      <c r="N31" s="35" t="str">
        <f>IF($B31="","",IFERROR(INDEX(Calc!D$6:D$65,MATCH($B31,Calc!$A$6:$A$65,0)),""))</f>
        <v/>
      </c>
      <c r="O31" s="35" t="str">
        <f>IF($B31="","",IFERROR(INDEX(Calc!E$6:E$65,MATCH($B31,Calc!$A$6:$A$65,0)),""))</f>
        <v/>
      </c>
      <c r="P31" s="35" t="str">
        <f>IF($B31="","",IFERROR(INDEX(Calc!F$6:F$65,MATCH($B31,Calc!$A$6:$A$65,0)),""))</f>
        <v/>
      </c>
      <c r="Q31" s="35" t="str">
        <f>IF($B31="","",IFERROR(INDEX(Calc!G$6:G$65,MATCH($B31,Calc!$A$6:$A$65,0)),""))</f>
        <v/>
      </c>
      <c r="R31" s="35" t="str">
        <f>IF($B31="","",IFERROR(INDEX(Calc!H$6:H$65,MATCH($B31,Calc!$A$6:$A$65,0)),""))</f>
        <v/>
      </c>
      <c r="S31" s="35" t="str">
        <f>IF($B31="","",IFERROR(INDEX(Calc!I$6:I$65,MATCH($B31,Calc!$A$6:$A$65,0)),""))</f>
        <v/>
      </c>
      <c r="T31" s="35" t="str">
        <f>IF($B31="","",IFERROR(INDEX(Calc!J$6:J$65,MATCH($B31,Calc!$A$6:$A$65,0)),""))</f>
        <v/>
      </c>
      <c r="U31" s="35" t="str">
        <f>IF($B31="","",IFERROR(INDEX(Calc!K$6:K$65,MATCH($B31,Calc!$A$6:$A$65,0)),""))</f>
        <v/>
      </c>
      <c r="V31" s="35" t="str">
        <f>IF($B31="","",IFERROR(INDEX(Calc!L$6:L$65,MATCH($B31,Calc!$A$6:$A$65,0)),""))</f>
        <v/>
      </c>
      <c r="W31" s="35" t="str">
        <f>IF($B31="","",IFERROR(INDEX(Calc!M$6:M$65,MATCH($B31,Calc!$A$6:$A$65,0)),""))</f>
        <v/>
      </c>
      <c r="X31" s="30" t="str">
        <f>IF(B31="","",COUNTIFS(Actions!$B$6:$B$105,B31,Actions!$I$6:$I$105,"Open"))</f>
        <v/>
      </c>
      <c r="Y31" s="15" t="str">
        <f>IF(B31="","",IF(INDEX(Tracker!$AB$6:$AB$65,MATCH(12,Tracker!$AE$6:$AE$65,0))=0,"",INDEX(Tracker!$AB$6:$AB$65,MATCH(12,Tracker!$AE$6:$AE$65,0))))</f>
        <v/>
      </c>
      <c r="Z31" s="57" t="str">
        <f>IFERROR(INDEX(Tracker!$K$6:$K$65,MATCH(12,Tracker!$AE$6:$AE$65,0)),"")</f>
        <v/>
      </c>
    </row>
    <row r="32" spans="1:26" x14ac:dyDescent="0.45">
      <c r="A32" s="49" t="str">
        <f>IF(B32="","",13)</f>
        <v/>
      </c>
      <c r="B32" s="15" t="str">
        <f>IFERROR(INDEX(Tracker!$A$6:$A$65,MATCH(13,Tracker!$AE$6:$AE$65,0)),"")</f>
        <v/>
      </c>
      <c r="C32" s="15" t="str">
        <f>IFERROR(INDEX(Tracker!$B$6:$B$65,MATCH(13,Tracker!$AE$6:$AE$65,0)),"")</f>
        <v/>
      </c>
      <c r="D32" s="15" t="str">
        <f>IFERROR(INDEX(Tracker!$C$6:$C$65,MATCH(13,Tracker!$AE$6:$AE$65,0)),"")</f>
        <v/>
      </c>
      <c r="E32" s="15" t="str">
        <f>IFERROR(INDEX(Tracker!$G$6:$G$65,MATCH(13,Tracker!$AE$6:$AE$65,0)),"")</f>
        <v/>
      </c>
      <c r="F32" s="29" t="str">
        <f>IFERROR(INDEX(Tracker!$X$6:$X$65,MATCH(13,Tracker!$AE$6:$AE$65,0)),"")</f>
        <v/>
      </c>
      <c r="G32" s="15" t="str">
        <f>IFERROR(INDEX(Tracker!$Y$6:$Y$65,MATCH(13,Tracker!$AE$6:$AE$65,0)),"")</f>
        <v/>
      </c>
      <c r="H32" s="15" t="str">
        <f>IFERROR(INDEX(Tracker!$I$6:$I$65,MATCH(13,Tracker!$AE$6:$AE$65,0)),"")</f>
        <v/>
      </c>
      <c r="I32" s="15" t="str">
        <f>IFERROR(INDEX(Tracker!$J$6:$J$65,MATCH(13,Tracker!$AE$6:$AE$65,0)),"")</f>
        <v/>
      </c>
      <c r="J32" s="32" t="str">
        <f>IFERROR(INDEX(Tracker!$Z$6:$Z$65,MATCH(13,Tracker!$AE$6:$AE$65,0)),"")</f>
        <v/>
      </c>
      <c r="K32" s="15" t="str">
        <f>IFERROR(INDEX(Tracker!$AA$6:$AA$65,MATCH(13,Tracker!$AE$6:$AE$65,0)),"")</f>
        <v/>
      </c>
      <c r="L32" s="35" t="str">
        <f>IF($B32="","",IFERROR(INDEX(Calc!B$6:B$65,MATCH($B32,Calc!$A$6:$A$65,0)),""))</f>
        <v/>
      </c>
      <c r="M32" s="35" t="str">
        <f>IF($B32="","",IFERROR(INDEX(Calc!C$6:C$65,MATCH($B32,Calc!$A$6:$A$65,0)),""))</f>
        <v/>
      </c>
      <c r="N32" s="35" t="str">
        <f>IF($B32="","",IFERROR(INDEX(Calc!D$6:D$65,MATCH($B32,Calc!$A$6:$A$65,0)),""))</f>
        <v/>
      </c>
      <c r="O32" s="35" t="str">
        <f>IF($B32="","",IFERROR(INDEX(Calc!E$6:E$65,MATCH($B32,Calc!$A$6:$A$65,0)),""))</f>
        <v/>
      </c>
      <c r="P32" s="35" t="str">
        <f>IF($B32="","",IFERROR(INDEX(Calc!F$6:F$65,MATCH($B32,Calc!$A$6:$A$65,0)),""))</f>
        <v/>
      </c>
      <c r="Q32" s="35" t="str">
        <f>IF($B32="","",IFERROR(INDEX(Calc!G$6:G$65,MATCH($B32,Calc!$A$6:$A$65,0)),""))</f>
        <v/>
      </c>
      <c r="R32" s="35" t="str">
        <f>IF($B32="","",IFERROR(INDEX(Calc!H$6:H$65,MATCH($B32,Calc!$A$6:$A$65,0)),""))</f>
        <v/>
      </c>
      <c r="S32" s="35" t="str">
        <f>IF($B32="","",IFERROR(INDEX(Calc!I$6:I$65,MATCH($B32,Calc!$A$6:$A$65,0)),""))</f>
        <v/>
      </c>
      <c r="T32" s="35" t="str">
        <f>IF($B32="","",IFERROR(INDEX(Calc!J$6:J$65,MATCH($B32,Calc!$A$6:$A$65,0)),""))</f>
        <v/>
      </c>
      <c r="U32" s="35" t="str">
        <f>IF($B32="","",IFERROR(INDEX(Calc!K$6:K$65,MATCH($B32,Calc!$A$6:$A$65,0)),""))</f>
        <v/>
      </c>
      <c r="V32" s="35" t="str">
        <f>IF($B32="","",IFERROR(INDEX(Calc!L$6:L$65,MATCH($B32,Calc!$A$6:$A$65,0)),""))</f>
        <v/>
      </c>
      <c r="W32" s="35" t="str">
        <f>IF($B32="","",IFERROR(INDEX(Calc!M$6:M$65,MATCH($B32,Calc!$A$6:$A$65,0)),""))</f>
        <v/>
      </c>
      <c r="X32" s="30" t="str">
        <f>IF(B32="","",COUNTIFS(Actions!$B$6:$B$105,B32,Actions!$I$6:$I$105,"Open"))</f>
        <v/>
      </c>
      <c r="Y32" s="15" t="str">
        <f>IF(B32="","",IF(INDEX(Tracker!$AB$6:$AB$65,MATCH(13,Tracker!$AE$6:$AE$65,0))=0,"",INDEX(Tracker!$AB$6:$AB$65,MATCH(13,Tracker!$AE$6:$AE$65,0))))</f>
        <v/>
      </c>
      <c r="Z32" s="57" t="str">
        <f>IFERROR(INDEX(Tracker!$K$6:$K$65,MATCH(13,Tracker!$AE$6:$AE$65,0)),"")</f>
        <v/>
      </c>
    </row>
    <row r="33" spans="1:26" x14ac:dyDescent="0.45">
      <c r="A33" s="49" t="str">
        <f>IF(B33="","",14)</f>
        <v/>
      </c>
      <c r="B33" s="15" t="str">
        <f>IFERROR(INDEX(Tracker!$A$6:$A$65,MATCH(14,Tracker!$AE$6:$AE$65,0)),"")</f>
        <v/>
      </c>
      <c r="C33" s="15" t="str">
        <f>IFERROR(INDEX(Tracker!$B$6:$B$65,MATCH(14,Tracker!$AE$6:$AE$65,0)),"")</f>
        <v/>
      </c>
      <c r="D33" s="15" t="str">
        <f>IFERROR(INDEX(Tracker!$C$6:$C$65,MATCH(14,Tracker!$AE$6:$AE$65,0)),"")</f>
        <v/>
      </c>
      <c r="E33" s="15" t="str">
        <f>IFERROR(INDEX(Tracker!$G$6:$G$65,MATCH(14,Tracker!$AE$6:$AE$65,0)),"")</f>
        <v/>
      </c>
      <c r="F33" s="29" t="str">
        <f>IFERROR(INDEX(Tracker!$X$6:$X$65,MATCH(14,Tracker!$AE$6:$AE$65,0)),"")</f>
        <v/>
      </c>
      <c r="G33" s="15" t="str">
        <f>IFERROR(INDEX(Tracker!$Y$6:$Y$65,MATCH(14,Tracker!$AE$6:$AE$65,0)),"")</f>
        <v/>
      </c>
      <c r="H33" s="15" t="str">
        <f>IFERROR(INDEX(Tracker!$I$6:$I$65,MATCH(14,Tracker!$AE$6:$AE$65,0)),"")</f>
        <v/>
      </c>
      <c r="I33" s="15" t="str">
        <f>IFERROR(INDEX(Tracker!$J$6:$J$65,MATCH(14,Tracker!$AE$6:$AE$65,0)),"")</f>
        <v/>
      </c>
      <c r="J33" s="32" t="str">
        <f>IFERROR(INDEX(Tracker!$Z$6:$Z$65,MATCH(14,Tracker!$AE$6:$AE$65,0)),"")</f>
        <v/>
      </c>
      <c r="K33" s="15" t="str">
        <f>IFERROR(INDEX(Tracker!$AA$6:$AA$65,MATCH(14,Tracker!$AE$6:$AE$65,0)),"")</f>
        <v/>
      </c>
      <c r="L33" s="35" t="str">
        <f>IF($B33="","",IFERROR(INDEX(Calc!B$6:B$65,MATCH($B33,Calc!$A$6:$A$65,0)),""))</f>
        <v/>
      </c>
      <c r="M33" s="35" t="str">
        <f>IF($B33="","",IFERROR(INDEX(Calc!C$6:C$65,MATCH($B33,Calc!$A$6:$A$65,0)),""))</f>
        <v/>
      </c>
      <c r="N33" s="35" t="str">
        <f>IF($B33="","",IFERROR(INDEX(Calc!D$6:D$65,MATCH($B33,Calc!$A$6:$A$65,0)),""))</f>
        <v/>
      </c>
      <c r="O33" s="35" t="str">
        <f>IF($B33="","",IFERROR(INDEX(Calc!E$6:E$65,MATCH($B33,Calc!$A$6:$A$65,0)),""))</f>
        <v/>
      </c>
      <c r="P33" s="35" t="str">
        <f>IF($B33="","",IFERROR(INDEX(Calc!F$6:F$65,MATCH($B33,Calc!$A$6:$A$65,0)),""))</f>
        <v/>
      </c>
      <c r="Q33" s="35" t="str">
        <f>IF($B33="","",IFERROR(INDEX(Calc!G$6:G$65,MATCH($B33,Calc!$A$6:$A$65,0)),""))</f>
        <v/>
      </c>
      <c r="R33" s="35" t="str">
        <f>IF($B33="","",IFERROR(INDEX(Calc!H$6:H$65,MATCH($B33,Calc!$A$6:$A$65,0)),""))</f>
        <v/>
      </c>
      <c r="S33" s="35" t="str">
        <f>IF($B33="","",IFERROR(INDEX(Calc!I$6:I$65,MATCH($B33,Calc!$A$6:$A$65,0)),""))</f>
        <v/>
      </c>
      <c r="T33" s="35" t="str">
        <f>IF($B33="","",IFERROR(INDEX(Calc!J$6:J$65,MATCH($B33,Calc!$A$6:$A$65,0)),""))</f>
        <v/>
      </c>
      <c r="U33" s="35" t="str">
        <f>IF($B33="","",IFERROR(INDEX(Calc!K$6:K$65,MATCH($B33,Calc!$A$6:$A$65,0)),""))</f>
        <v/>
      </c>
      <c r="V33" s="35" t="str">
        <f>IF($B33="","",IFERROR(INDEX(Calc!L$6:L$65,MATCH($B33,Calc!$A$6:$A$65,0)),""))</f>
        <v/>
      </c>
      <c r="W33" s="35" t="str">
        <f>IF($B33="","",IFERROR(INDEX(Calc!M$6:M$65,MATCH($B33,Calc!$A$6:$A$65,0)),""))</f>
        <v/>
      </c>
      <c r="X33" s="30" t="str">
        <f>IF(B33="","",COUNTIFS(Actions!$B$6:$B$105,B33,Actions!$I$6:$I$105,"Open"))</f>
        <v/>
      </c>
      <c r="Y33" s="15" t="str">
        <f>IF(B33="","",IF(INDEX(Tracker!$AB$6:$AB$65,MATCH(14,Tracker!$AE$6:$AE$65,0))=0,"",INDEX(Tracker!$AB$6:$AB$65,MATCH(14,Tracker!$AE$6:$AE$65,0))))</f>
        <v/>
      </c>
      <c r="Z33" s="57" t="str">
        <f>IFERROR(INDEX(Tracker!$K$6:$K$65,MATCH(14,Tracker!$AE$6:$AE$65,0)),"")</f>
        <v/>
      </c>
    </row>
    <row r="34" spans="1:26" x14ac:dyDescent="0.45">
      <c r="A34" s="49" t="str">
        <f>IF(B34="","",15)</f>
        <v/>
      </c>
      <c r="B34" s="15" t="str">
        <f>IFERROR(INDEX(Tracker!$A$6:$A$65,MATCH(15,Tracker!$AE$6:$AE$65,0)),"")</f>
        <v/>
      </c>
      <c r="C34" s="15" t="str">
        <f>IFERROR(INDEX(Tracker!$B$6:$B$65,MATCH(15,Tracker!$AE$6:$AE$65,0)),"")</f>
        <v/>
      </c>
      <c r="D34" s="15" t="str">
        <f>IFERROR(INDEX(Tracker!$C$6:$C$65,MATCH(15,Tracker!$AE$6:$AE$65,0)),"")</f>
        <v/>
      </c>
      <c r="E34" s="15" t="str">
        <f>IFERROR(INDEX(Tracker!$G$6:$G$65,MATCH(15,Tracker!$AE$6:$AE$65,0)),"")</f>
        <v/>
      </c>
      <c r="F34" s="29" t="str">
        <f>IFERROR(INDEX(Tracker!$X$6:$X$65,MATCH(15,Tracker!$AE$6:$AE$65,0)),"")</f>
        <v/>
      </c>
      <c r="G34" s="15" t="str">
        <f>IFERROR(INDEX(Tracker!$Y$6:$Y$65,MATCH(15,Tracker!$AE$6:$AE$65,0)),"")</f>
        <v/>
      </c>
      <c r="H34" s="15" t="str">
        <f>IFERROR(INDEX(Tracker!$I$6:$I$65,MATCH(15,Tracker!$AE$6:$AE$65,0)),"")</f>
        <v/>
      </c>
      <c r="I34" s="15" t="str">
        <f>IFERROR(INDEX(Tracker!$J$6:$J$65,MATCH(15,Tracker!$AE$6:$AE$65,0)),"")</f>
        <v/>
      </c>
      <c r="J34" s="32" t="str">
        <f>IFERROR(INDEX(Tracker!$Z$6:$Z$65,MATCH(15,Tracker!$AE$6:$AE$65,0)),"")</f>
        <v/>
      </c>
      <c r="K34" s="15" t="str">
        <f>IFERROR(INDEX(Tracker!$AA$6:$AA$65,MATCH(15,Tracker!$AE$6:$AE$65,0)),"")</f>
        <v/>
      </c>
      <c r="L34" s="35" t="str">
        <f>IF($B34="","",IFERROR(INDEX(Calc!B$6:B$65,MATCH($B34,Calc!$A$6:$A$65,0)),""))</f>
        <v/>
      </c>
      <c r="M34" s="35" t="str">
        <f>IF($B34="","",IFERROR(INDEX(Calc!C$6:C$65,MATCH($B34,Calc!$A$6:$A$65,0)),""))</f>
        <v/>
      </c>
      <c r="N34" s="35" t="str">
        <f>IF($B34="","",IFERROR(INDEX(Calc!D$6:D$65,MATCH($B34,Calc!$A$6:$A$65,0)),""))</f>
        <v/>
      </c>
      <c r="O34" s="35" t="str">
        <f>IF($B34="","",IFERROR(INDEX(Calc!E$6:E$65,MATCH($B34,Calc!$A$6:$A$65,0)),""))</f>
        <v/>
      </c>
      <c r="P34" s="35" t="str">
        <f>IF($B34="","",IFERROR(INDEX(Calc!F$6:F$65,MATCH($B34,Calc!$A$6:$A$65,0)),""))</f>
        <v/>
      </c>
      <c r="Q34" s="35" t="str">
        <f>IF($B34="","",IFERROR(INDEX(Calc!G$6:G$65,MATCH($B34,Calc!$A$6:$A$65,0)),""))</f>
        <v/>
      </c>
      <c r="R34" s="35" t="str">
        <f>IF($B34="","",IFERROR(INDEX(Calc!H$6:H$65,MATCH($B34,Calc!$A$6:$A$65,0)),""))</f>
        <v/>
      </c>
      <c r="S34" s="35" t="str">
        <f>IF($B34="","",IFERROR(INDEX(Calc!I$6:I$65,MATCH($B34,Calc!$A$6:$A$65,0)),""))</f>
        <v/>
      </c>
      <c r="T34" s="35" t="str">
        <f>IF($B34="","",IFERROR(INDEX(Calc!J$6:J$65,MATCH($B34,Calc!$A$6:$A$65,0)),""))</f>
        <v/>
      </c>
      <c r="U34" s="35" t="str">
        <f>IF($B34="","",IFERROR(INDEX(Calc!K$6:K$65,MATCH($B34,Calc!$A$6:$A$65,0)),""))</f>
        <v/>
      </c>
      <c r="V34" s="35" t="str">
        <f>IF($B34="","",IFERROR(INDEX(Calc!L$6:L$65,MATCH($B34,Calc!$A$6:$A$65,0)),""))</f>
        <v/>
      </c>
      <c r="W34" s="35" t="str">
        <f>IF($B34="","",IFERROR(INDEX(Calc!M$6:M$65,MATCH($B34,Calc!$A$6:$A$65,0)),""))</f>
        <v/>
      </c>
      <c r="X34" s="30" t="str">
        <f>IF(B34="","",COUNTIFS(Actions!$B$6:$B$105,B34,Actions!$I$6:$I$105,"Open"))</f>
        <v/>
      </c>
      <c r="Y34" s="15" t="str">
        <f>IF(B34="","",IF(INDEX(Tracker!$AB$6:$AB$65,MATCH(15,Tracker!$AE$6:$AE$65,0))=0,"",INDEX(Tracker!$AB$6:$AB$65,MATCH(15,Tracker!$AE$6:$AE$65,0))))</f>
        <v/>
      </c>
      <c r="Z34" s="57" t="str">
        <f>IFERROR(INDEX(Tracker!$K$6:$K$65,MATCH(15,Tracker!$AE$6:$AE$65,0)),"")</f>
        <v/>
      </c>
    </row>
    <row r="35" spans="1:26" x14ac:dyDescent="0.45">
      <c r="A35" s="49" t="str">
        <f>IF(B35="","",16)</f>
        <v/>
      </c>
      <c r="B35" s="15" t="str">
        <f>IFERROR(INDEX(Tracker!$A$6:$A$65,MATCH(16,Tracker!$AE$6:$AE$65,0)),"")</f>
        <v/>
      </c>
      <c r="C35" s="15" t="str">
        <f>IFERROR(INDEX(Tracker!$B$6:$B$65,MATCH(16,Tracker!$AE$6:$AE$65,0)),"")</f>
        <v/>
      </c>
      <c r="D35" s="15" t="str">
        <f>IFERROR(INDEX(Tracker!$C$6:$C$65,MATCH(16,Tracker!$AE$6:$AE$65,0)),"")</f>
        <v/>
      </c>
      <c r="E35" s="15" t="str">
        <f>IFERROR(INDEX(Tracker!$G$6:$G$65,MATCH(16,Tracker!$AE$6:$AE$65,0)),"")</f>
        <v/>
      </c>
      <c r="F35" s="29" t="str">
        <f>IFERROR(INDEX(Tracker!$X$6:$X$65,MATCH(16,Tracker!$AE$6:$AE$65,0)),"")</f>
        <v/>
      </c>
      <c r="G35" s="15" t="str">
        <f>IFERROR(INDEX(Tracker!$Y$6:$Y$65,MATCH(16,Tracker!$AE$6:$AE$65,0)),"")</f>
        <v/>
      </c>
      <c r="H35" s="15" t="str">
        <f>IFERROR(INDEX(Tracker!$I$6:$I$65,MATCH(16,Tracker!$AE$6:$AE$65,0)),"")</f>
        <v/>
      </c>
      <c r="I35" s="15" t="str">
        <f>IFERROR(INDEX(Tracker!$J$6:$J$65,MATCH(16,Tracker!$AE$6:$AE$65,0)),"")</f>
        <v/>
      </c>
      <c r="J35" s="32" t="str">
        <f>IFERROR(INDEX(Tracker!$Z$6:$Z$65,MATCH(16,Tracker!$AE$6:$AE$65,0)),"")</f>
        <v/>
      </c>
      <c r="K35" s="15" t="str">
        <f>IFERROR(INDEX(Tracker!$AA$6:$AA$65,MATCH(16,Tracker!$AE$6:$AE$65,0)),"")</f>
        <v/>
      </c>
      <c r="L35" s="35" t="str">
        <f>IF($B35="","",IFERROR(INDEX(Calc!B$6:B$65,MATCH($B35,Calc!$A$6:$A$65,0)),""))</f>
        <v/>
      </c>
      <c r="M35" s="35" t="str">
        <f>IF($B35="","",IFERROR(INDEX(Calc!C$6:C$65,MATCH($B35,Calc!$A$6:$A$65,0)),""))</f>
        <v/>
      </c>
      <c r="N35" s="35" t="str">
        <f>IF($B35="","",IFERROR(INDEX(Calc!D$6:D$65,MATCH($B35,Calc!$A$6:$A$65,0)),""))</f>
        <v/>
      </c>
      <c r="O35" s="35" t="str">
        <f>IF($B35="","",IFERROR(INDEX(Calc!E$6:E$65,MATCH($B35,Calc!$A$6:$A$65,0)),""))</f>
        <v/>
      </c>
      <c r="P35" s="35" t="str">
        <f>IF($B35="","",IFERROR(INDEX(Calc!F$6:F$65,MATCH($B35,Calc!$A$6:$A$65,0)),""))</f>
        <v/>
      </c>
      <c r="Q35" s="35" t="str">
        <f>IF($B35="","",IFERROR(INDEX(Calc!G$6:G$65,MATCH($B35,Calc!$A$6:$A$65,0)),""))</f>
        <v/>
      </c>
      <c r="R35" s="35" t="str">
        <f>IF($B35="","",IFERROR(INDEX(Calc!H$6:H$65,MATCH($B35,Calc!$A$6:$A$65,0)),""))</f>
        <v/>
      </c>
      <c r="S35" s="35" t="str">
        <f>IF($B35="","",IFERROR(INDEX(Calc!I$6:I$65,MATCH($B35,Calc!$A$6:$A$65,0)),""))</f>
        <v/>
      </c>
      <c r="T35" s="35" t="str">
        <f>IF($B35="","",IFERROR(INDEX(Calc!J$6:J$65,MATCH($B35,Calc!$A$6:$A$65,0)),""))</f>
        <v/>
      </c>
      <c r="U35" s="35" t="str">
        <f>IF($B35="","",IFERROR(INDEX(Calc!K$6:K$65,MATCH($B35,Calc!$A$6:$A$65,0)),""))</f>
        <v/>
      </c>
      <c r="V35" s="35" t="str">
        <f>IF($B35="","",IFERROR(INDEX(Calc!L$6:L$65,MATCH($B35,Calc!$A$6:$A$65,0)),""))</f>
        <v/>
      </c>
      <c r="W35" s="35" t="str">
        <f>IF($B35="","",IFERROR(INDEX(Calc!M$6:M$65,MATCH($B35,Calc!$A$6:$A$65,0)),""))</f>
        <v/>
      </c>
      <c r="X35" s="30" t="str">
        <f>IF(B35="","",COUNTIFS(Actions!$B$6:$B$105,B35,Actions!$I$6:$I$105,"Open"))</f>
        <v/>
      </c>
      <c r="Y35" s="15" t="str">
        <f>IF(B35="","",IF(INDEX(Tracker!$AB$6:$AB$65,MATCH(16,Tracker!$AE$6:$AE$65,0))=0,"",INDEX(Tracker!$AB$6:$AB$65,MATCH(16,Tracker!$AE$6:$AE$65,0))))</f>
        <v/>
      </c>
      <c r="Z35" s="57" t="str">
        <f>IFERROR(INDEX(Tracker!$K$6:$K$65,MATCH(16,Tracker!$AE$6:$AE$65,0)),"")</f>
        <v/>
      </c>
    </row>
    <row r="36" spans="1:26" x14ac:dyDescent="0.45">
      <c r="A36" s="49" t="str">
        <f>IF(B36="","",17)</f>
        <v/>
      </c>
      <c r="B36" s="15" t="str">
        <f>IFERROR(INDEX(Tracker!$A$6:$A$65,MATCH(17,Tracker!$AE$6:$AE$65,0)),"")</f>
        <v/>
      </c>
      <c r="C36" s="15" t="str">
        <f>IFERROR(INDEX(Tracker!$B$6:$B$65,MATCH(17,Tracker!$AE$6:$AE$65,0)),"")</f>
        <v/>
      </c>
      <c r="D36" s="15" t="str">
        <f>IFERROR(INDEX(Tracker!$C$6:$C$65,MATCH(17,Tracker!$AE$6:$AE$65,0)),"")</f>
        <v/>
      </c>
      <c r="E36" s="15" t="str">
        <f>IFERROR(INDEX(Tracker!$G$6:$G$65,MATCH(17,Tracker!$AE$6:$AE$65,0)),"")</f>
        <v/>
      </c>
      <c r="F36" s="29" t="str">
        <f>IFERROR(INDEX(Tracker!$X$6:$X$65,MATCH(17,Tracker!$AE$6:$AE$65,0)),"")</f>
        <v/>
      </c>
      <c r="G36" s="15" t="str">
        <f>IFERROR(INDEX(Tracker!$Y$6:$Y$65,MATCH(17,Tracker!$AE$6:$AE$65,0)),"")</f>
        <v/>
      </c>
      <c r="H36" s="15" t="str">
        <f>IFERROR(INDEX(Tracker!$I$6:$I$65,MATCH(17,Tracker!$AE$6:$AE$65,0)),"")</f>
        <v/>
      </c>
      <c r="I36" s="15" t="str">
        <f>IFERROR(INDEX(Tracker!$J$6:$J$65,MATCH(17,Tracker!$AE$6:$AE$65,0)),"")</f>
        <v/>
      </c>
      <c r="J36" s="32" t="str">
        <f>IFERROR(INDEX(Tracker!$Z$6:$Z$65,MATCH(17,Tracker!$AE$6:$AE$65,0)),"")</f>
        <v/>
      </c>
      <c r="K36" s="15" t="str">
        <f>IFERROR(INDEX(Tracker!$AA$6:$AA$65,MATCH(17,Tracker!$AE$6:$AE$65,0)),"")</f>
        <v/>
      </c>
      <c r="L36" s="35" t="str">
        <f>IF($B36="","",IFERROR(INDEX(Calc!B$6:B$65,MATCH($B36,Calc!$A$6:$A$65,0)),""))</f>
        <v/>
      </c>
      <c r="M36" s="35" t="str">
        <f>IF($B36="","",IFERROR(INDEX(Calc!C$6:C$65,MATCH($B36,Calc!$A$6:$A$65,0)),""))</f>
        <v/>
      </c>
      <c r="N36" s="35" t="str">
        <f>IF($B36="","",IFERROR(INDEX(Calc!D$6:D$65,MATCH($B36,Calc!$A$6:$A$65,0)),""))</f>
        <v/>
      </c>
      <c r="O36" s="35" t="str">
        <f>IF($B36="","",IFERROR(INDEX(Calc!E$6:E$65,MATCH($B36,Calc!$A$6:$A$65,0)),""))</f>
        <v/>
      </c>
      <c r="P36" s="35" t="str">
        <f>IF($B36="","",IFERROR(INDEX(Calc!F$6:F$65,MATCH($B36,Calc!$A$6:$A$65,0)),""))</f>
        <v/>
      </c>
      <c r="Q36" s="35" t="str">
        <f>IF($B36="","",IFERROR(INDEX(Calc!G$6:G$65,MATCH($B36,Calc!$A$6:$A$65,0)),""))</f>
        <v/>
      </c>
      <c r="R36" s="35" t="str">
        <f>IF($B36="","",IFERROR(INDEX(Calc!H$6:H$65,MATCH($B36,Calc!$A$6:$A$65,0)),""))</f>
        <v/>
      </c>
      <c r="S36" s="35" t="str">
        <f>IF($B36="","",IFERROR(INDEX(Calc!I$6:I$65,MATCH($B36,Calc!$A$6:$A$65,0)),""))</f>
        <v/>
      </c>
      <c r="T36" s="35" t="str">
        <f>IF($B36="","",IFERROR(INDEX(Calc!J$6:J$65,MATCH($B36,Calc!$A$6:$A$65,0)),""))</f>
        <v/>
      </c>
      <c r="U36" s="35" t="str">
        <f>IF($B36="","",IFERROR(INDEX(Calc!K$6:K$65,MATCH($B36,Calc!$A$6:$A$65,0)),""))</f>
        <v/>
      </c>
      <c r="V36" s="35" t="str">
        <f>IF($B36="","",IFERROR(INDEX(Calc!L$6:L$65,MATCH($B36,Calc!$A$6:$A$65,0)),""))</f>
        <v/>
      </c>
      <c r="W36" s="35" t="str">
        <f>IF($B36="","",IFERROR(INDEX(Calc!M$6:M$65,MATCH($B36,Calc!$A$6:$A$65,0)),""))</f>
        <v/>
      </c>
      <c r="X36" s="30" t="str">
        <f>IF(B36="","",COUNTIFS(Actions!$B$6:$B$105,B36,Actions!$I$6:$I$105,"Open"))</f>
        <v/>
      </c>
      <c r="Y36" s="15" t="str">
        <f>IF(B36="","",IF(INDEX(Tracker!$AB$6:$AB$65,MATCH(17,Tracker!$AE$6:$AE$65,0))=0,"",INDEX(Tracker!$AB$6:$AB$65,MATCH(17,Tracker!$AE$6:$AE$65,0))))</f>
        <v/>
      </c>
      <c r="Z36" s="57" t="str">
        <f>IFERROR(INDEX(Tracker!$K$6:$K$65,MATCH(17,Tracker!$AE$6:$AE$65,0)),"")</f>
        <v/>
      </c>
    </row>
    <row r="37" spans="1:26" x14ac:dyDescent="0.45">
      <c r="A37" s="49" t="str">
        <f>IF(B37="","",18)</f>
        <v/>
      </c>
      <c r="B37" s="15" t="str">
        <f>IFERROR(INDEX(Tracker!$A$6:$A$65,MATCH(18,Tracker!$AE$6:$AE$65,0)),"")</f>
        <v/>
      </c>
      <c r="C37" s="15" t="str">
        <f>IFERROR(INDEX(Tracker!$B$6:$B$65,MATCH(18,Tracker!$AE$6:$AE$65,0)),"")</f>
        <v/>
      </c>
      <c r="D37" s="15" t="str">
        <f>IFERROR(INDEX(Tracker!$C$6:$C$65,MATCH(18,Tracker!$AE$6:$AE$65,0)),"")</f>
        <v/>
      </c>
      <c r="E37" s="15" t="str">
        <f>IFERROR(INDEX(Tracker!$G$6:$G$65,MATCH(18,Tracker!$AE$6:$AE$65,0)),"")</f>
        <v/>
      </c>
      <c r="F37" s="29" t="str">
        <f>IFERROR(INDEX(Tracker!$X$6:$X$65,MATCH(18,Tracker!$AE$6:$AE$65,0)),"")</f>
        <v/>
      </c>
      <c r="G37" s="15" t="str">
        <f>IFERROR(INDEX(Tracker!$Y$6:$Y$65,MATCH(18,Tracker!$AE$6:$AE$65,0)),"")</f>
        <v/>
      </c>
      <c r="H37" s="15" t="str">
        <f>IFERROR(INDEX(Tracker!$I$6:$I$65,MATCH(18,Tracker!$AE$6:$AE$65,0)),"")</f>
        <v/>
      </c>
      <c r="I37" s="15" t="str">
        <f>IFERROR(INDEX(Tracker!$J$6:$J$65,MATCH(18,Tracker!$AE$6:$AE$65,0)),"")</f>
        <v/>
      </c>
      <c r="J37" s="32" t="str">
        <f>IFERROR(INDEX(Tracker!$Z$6:$Z$65,MATCH(18,Tracker!$AE$6:$AE$65,0)),"")</f>
        <v/>
      </c>
      <c r="K37" s="15" t="str">
        <f>IFERROR(INDEX(Tracker!$AA$6:$AA$65,MATCH(18,Tracker!$AE$6:$AE$65,0)),"")</f>
        <v/>
      </c>
      <c r="L37" s="35" t="str">
        <f>IF($B37="","",IFERROR(INDEX(Calc!B$6:B$65,MATCH($B37,Calc!$A$6:$A$65,0)),""))</f>
        <v/>
      </c>
      <c r="M37" s="35" t="str">
        <f>IF($B37="","",IFERROR(INDEX(Calc!C$6:C$65,MATCH($B37,Calc!$A$6:$A$65,0)),""))</f>
        <v/>
      </c>
      <c r="N37" s="35" t="str">
        <f>IF($B37="","",IFERROR(INDEX(Calc!D$6:D$65,MATCH($B37,Calc!$A$6:$A$65,0)),""))</f>
        <v/>
      </c>
      <c r="O37" s="35" t="str">
        <f>IF($B37="","",IFERROR(INDEX(Calc!E$6:E$65,MATCH($B37,Calc!$A$6:$A$65,0)),""))</f>
        <v/>
      </c>
      <c r="P37" s="35" t="str">
        <f>IF($B37="","",IFERROR(INDEX(Calc!F$6:F$65,MATCH($B37,Calc!$A$6:$A$65,0)),""))</f>
        <v/>
      </c>
      <c r="Q37" s="35" t="str">
        <f>IF($B37="","",IFERROR(INDEX(Calc!G$6:G$65,MATCH($B37,Calc!$A$6:$A$65,0)),""))</f>
        <v/>
      </c>
      <c r="R37" s="35" t="str">
        <f>IF($B37="","",IFERROR(INDEX(Calc!H$6:H$65,MATCH($B37,Calc!$A$6:$A$65,0)),""))</f>
        <v/>
      </c>
      <c r="S37" s="35" t="str">
        <f>IF($B37="","",IFERROR(INDEX(Calc!I$6:I$65,MATCH($B37,Calc!$A$6:$A$65,0)),""))</f>
        <v/>
      </c>
      <c r="T37" s="35" t="str">
        <f>IF($B37="","",IFERROR(INDEX(Calc!J$6:J$65,MATCH($B37,Calc!$A$6:$A$65,0)),""))</f>
        <v/>
      </c>
      <c r="U37" s="35" t="str">
        <f>IF($B37="","",IFERROR(INDEX(Calc!K$6:K$65,MATCH($B37,Calc!$A$6:$A$65,0)),""))</f>
        <v/>
      </c>
      <c r="V37" s="35" t="str">
        <f>IF($B37="","",IFERROR(INDEX(Calc!L$6:L$65,MATCH($B37,Calc!$A$6:$A$65,0)),""))</f>
        <v/>
      </c>
      <c r="W37" s="35" t="str">
        <f>IF($B37="","",IFERROR(INDEX(Calc!M$6:M$65,MATCH($B37,Calc!$A$6:$A$65,0)),""))</f>
        <v/>
      </c>
      <c r="X37" s="30" t="str">
        <f>IF(B37="","",COUNTIFS(Actions!$B$6:$B$105,B37,Actions!$I$6:$I$105,"Open"))</f>
        <v/>
      </c>
      <c r="Y37" s="15" t="str">
        <f>IF(B37="","",IF(INDEX(Tracker!$AB$6:$AB$65,MATCH(18,Tracker!$AE$6:$AE$65,0))=0,"",INDEX(Tracker!$AB$6:$AB$65,MATCH(18,Tracker!$AE$6:$AE$65,0))))</f>
        <v/>
      </c>
      <c r="Z37" s="57" t="str">
        <f>IFERROR(INDEX(Tracker!$K$6:$K$65,MATCH(18,Tracker!$AE$6:$AE$65,0)),"")</f>
        <v/>
      </c>
    </row>
    <row r="38" spans="1:26" x14ac:dyDescent="0.45">
      <c r="A38" s="49" t="str">
        <f>IF(B38="","",19)</f>
        <v/>
      </c>
      <c r="B38" s="15" t="str">
        <f>IFERROR(INDEX(Tracker!$A$6:$A$65,MATCH(19,Tracker!$AE$6:$AE$65,0)),"")</f>
        <v/>
      </c>
      <c r="C38" s="15" t="str">
        <f>IFERROR(INDEX(Tracker!$B$6:$B$65,MATCH(19,Tracker!$AE$6:$AE$65,0)),"")</f>
        <v/>
      </c>
      <c r="D38" s="15" t="str">
        <f>IFERROR(INDEX(Tracker!$C$6:$C$65,MATCH(19,Tracker!$AE$6:$AE$65,0)),"")</f>
        <v/>
      </c>
      <c r="E38" s="15" t="str">
        <f>IFERROR(INDEX(Tracker!$G$6:$G$65,MATCH(19,Tracker!$AE$6:$AE$65,0)),"")</f>
        <v/>
      </c>
      <c r="F38" s="29" t="str">
        <f>IFERROR(INDEX(Tracker!$X$6:$X$65,MATCH(19,Tracker!$AE$6:$AE$65,0)),"")</f>
        <v/>
      </c>
      <c r="G38" s="15" t="str">
        <f>IFERROR(INDEX(Tracker!$Y$6:$Y$65,MATCH(19,Tracker!$AE$6:$AE$65,0)),"")</f>
        <v/>
      </c>
      <c r="H38" s="15" t="str">
        <f>IFERROR(INDEX(Tracker!$I$6:$I$65,MATCH(19,Tracker!$AE$6:$AE$65,0)),"")</f>
        <v/>
      </c>
      <c r="I38" s="15" t="str">
        <f>IFERROR(INDEX(Tracker!$J$6:$J$65,MATCH(19,Tracker!$AE$6:$AE$65,0)),"")</f>
        <v/>
      </c>
      <c r="J38" s="32" t="str">
        <f>IFERROR(INDEX(Tracker!$Z$6:$Z$65,MATCH(19,Tracker!$AE$6:$AE$65,0)),"")</f>
        <v/>
      </c>
      <c r="K38" s="15" t="str">
        <f>IFERROR(INDEX(Tracker!$AA$6:$AA$65,MATCH(19,Tracker!$AE$6:$AE$65,0)),"")</f>
        <v/>
      </c>
      <c r="L38" s="35" t="str">
        <f>IF($B38="","",IFERROR(INDEX(Calc!B$6:B$65,MATCH($B38,Calc!$A$6:$A$65,0)),""))</f>
        <v/>
      </c>
      <c r="M38" s="35" t="str">
        <f>IF($B38="","",IFERROR(INDEX(Calc!C$6:C$65,MATCH($B38,Calc!$A$6:$A$65,0)),""))</f>
        <v/>
      </c>
      <c r="N38" s="35" t="str">
        <f>IF($B38="","",IFERROR(INDEX(Calc!D$6:D$65,MATCH($B38,Calc!$A$6:$A$65,0)),""))</f>
        <v/>
      </c>
      <c r="O38" s="35" t="str">
        <f>IF($B38="","",IFERROR(INDEX(Calc!E$6:E$65,MATCH($B38,Calc!$A$6:$A$65,0)),""))</f>
        <v/>
      </c>
      <c r="P38" s="35" t="str">
        <f>IF($B38="","",IFERROR(INDEX(Calc!F$6:F$65,MATCH($B38,Calc!$A$6:$A$65,0)),""))</f>
        <v/>
      </c>
      <c r="Q38" s="35" t="str">
        <f>IF($B38="","",IFERROR(INDEX(Calc!G$6:G$65,MATCH($B38,Calc!$A$6:$A$65,0)),""))</f>
        <v/>
      </c>
      <c r="R38" s="35" t="str">
        <f>IF($B38="","",IFERROR(INDEX(Calc!H$6:H$65,MATCH($B38,Calc!$A$6:$A$65,0)),""))</f>
        <v/>
      </c>
      <c r="S38" s="35" t="str">
        <f>IF($B38="","",IFERROR(INDEX(Calc!I$6:I$65,MATCH($B38,Calc!$A$6:$A$65,0)),""))</f>
        <v/>
      </c>
      <c r="T38" s="35" t="str">
        <f>IF($B38="","",IFERROR(INDEX(Calc!J$6:J$65,MATCH($B38,Calc!$A$6:$A$65,0)),""))</f>
        <v/>
      </c>
      <c r="U38" s="35" t="str">
        <f>IF($B38="","",IFERROR(INDEX(Calc!K$6:K$65,MATCH($B38,Calc!$A$6:$A$65,0)),""))</f>
        <v/>
      </c>
      <c r="V38" s="35" t="str">
        <f>IF($B38="","",IFERROR(INDEX(Calc!L$6:L$65,MATCH($B38,Calc!$A$6:$A$65,0)),""))</f>
        <v/>
      </c>
      <c r="W38" s="35" t="str">
        <f>IF($B38="","",IFERROR(INDEX(Calc!M$6:M$65,MATCH($B38,Calc!$A$6:$A$65,0)),""))</f>
        <v/>
      </c>
      <c r="X38" s="30" t="str">
        <f>IF(B38="","",COUNTIFS(Actions!$B$6:$B$105,B38,Actions!$I$6:$I$105,"Open"))</f>
        <v/>
      </c>
      <c r="Y38" s="15" t="str">
        <f>IF(B38="","",IF(INDEX(Tracker!$AB$6:$AB$65,MATCH(19,Tracker!$AE$6:$AE$65,0))=0,"",INDEX(Tracker!$AB$6:$AB$65,MATCH(19,Tracker!$AE$6:$AE$65,0))))</f>
        <v/>
      </c>
      <c r="Z38" s="57" t="str">
        <f>IFERROR(INDEX(Tracker!$K$6:$K$65,MATCH(19,Tracker!$AE$6:$AE$65,0)),"")</f>
        <v/>
      </c>
    </row>
    <row r="39" spans="1:26" x14ac:dyDescent="0.45">
      <c r="A39" s="49" t="str">
        <f>IF(B39="","",20)</f>
        <v/>
      </c>
      <c r="B39" s="15" t="str">
        <f>IFERROR(INDEX(Tracker!$A$6:$A$65,MATCH(20,Tracker!$AE$6:$AE$65,0)),"")</f>
        <v/>
      </c>
      <c r="C39" s="15" t="str">
        <f>IFERROR(INDEX(Tracker!$B$6:$B$65,MATCH(20,Tracker!$AE$6:$AE$65,0)),"")</f>
        <v/>
      </c>
      <c r="D39" s="15" t="str">
        <f>IFERROR(INDEX(Tracker!$C$6:$C$65,MATCH(20,Tracker!$AE$6:$AE$65,0)),"")</f>
        <v/>
      </c>
      <c r="E39" s="15" t="str">
        <f>IFERROR(INDEX(Tracker!$G$6:$G$65,MATCH(20,Tracker!$AE$6:$AE$65,0)),"")</f>
        <v/>
      </c>
      <c r="F39" s="29" t="str">
        <f>IFERROR(INDEX(Tracker!$X$6:$X$65,MATCH(20,Tracker!$AE$6:$AE$65,0)),"")</f>
        <v/>
      </c>
      <c r="G39" s="15" t="str">
        <f>IFERROR(INDEX(Tracker!$Y$6:$Y$65,MATCH(20,Tracker!$AE$6:$AE$65,0)),"")</f>
        <v/>
      </c>
      <c r="H39" s="15" t="str">
        <f>IFERROR(INDEX(Tracker!$I$6:$I$65,MATCH(20,Tracker!$AE$6:$AE$65,0)),"")</f>
        <v/>
      </c>
      <c r="I39" s="15" t="str">
        <f>IFERROR(INDEX(Tracker!$J$6:$J$65,MATCH(20,Tracker!$AE$6:$AE$65,0)),"")</f>
        <v/>
      </c>
      <c r="J39" s="32" t="str">
        <f>IFERROR(INDEX(Tracker!$Z$6:$Z$65,MATCH(20,Tracker!$AE$6:$AE$65,0)),"")</f>
        <v/>
      </c>
      <c r="K39" s="15" t="str">
        <f>IFERROR(INDEX(Tracker!$AA$6:$AA$65,MATCH(20,Tracker!$AE$6:$AE$65,0)),"")</f>
        <v/>
      </c>
      <c r="L39" s="35" t="str">
        <f>IF($B39="","",IFERROR(INDEX(Calc!B$6:B$65,MATCH($B39,Calc!$A$6:$A$65,0)),""))</f>
        <v/>
      </c>
      <c r="M39" s="35" t="str">
        <f>IF($B39="","",IFERROR(INDEX(Calc!C$6:C$65,MATCH($B39,Calc!$A$6:$A$65,0)),""))</f>
        <v/>
      </c>
      <c r="N39" s="35" t="str">
        <f>IF($B39="","",IFERROR(INDEX(Calc!D$6:D$65,MATCH($B39,Calc!$A$6:$A$65,0)),""))</f>
        <v/>
      </c>
      <c r="O39" s="35" t="str">
        <f>IF($B39="","",IFERROR(INDEX(Calc!E$6:E$65,MATCH($B39,Calc!$A$6:$A$65,0)),""))</f>
        <v/>
      </c>
      <c r="P39" s="35" t="str">
        <f>IF($B39="","",IFERROR(INDEX(Calc!F$6:F$65,MATCH($B39,Calc!$A$6:$A$65,0)),""))</f>
        <v/>
      </c>
      <c r="Q39" s="35" t="str">
        <f>IF($B39="","",IFERROR(INDEX(Calc!G$6:G$65,MATCH($B39,Calc!$A$6:$A$65,0)),""))</f>
        <v/>
      </c>
      <c r="R39" s="35" t="str">
        <f>IF($B39="","",IFERROR(INDEX(Calc!H$6:H$65,MATCH($B39,Calc!$A$6:$A$65,0)),""))</f>
        <v/>
      </c>
      <c r="S39" s="35" t="str">
        <f>IF($B39="","",IFERROR(INDEX(Calc!I$6:I$65,MATCH($B39,Calc!$A$6:$A$65,0)),""))</f>
        <v/>
      </c>
      <c r="T39" s="35" t="str">
        <f>IF($B39="","",IFERROR(INDEX(Calc!J$6:J$65,MATCH($B39,Calc!$A$6:$A$65,0)),""))</f>
        <v/>
      </c>
      <c r="U39" s="35" t="str">
        <f>IF($B39="","",IFERROR(INDEX(Calc!K$6:K$65,MATCH($B39,Calc!$A$6:$A$65,0)),""))</f>
        <v/>
      </c>
      <c r="V39" s="35" t="str">
        <f>IF($B39="","",IFERROR(INDEX(Calc!L$6:L$65,MATCH($B39,Calc!$A$6:$A$65,0)),""))</f>
        <v/>
      </c>
      <c r="W39" s="35" t="str">
        <f>IF($B39="","",IFERROR(INDEX(Calc!M$6:M$65,MATCH($B39,Calc!$A$6:$A$65,0)),""))</f>
        <v/>
      </c>
      <c r="X39" s="30" t="str">
        <f>IF(B39="","",COUNTIFS(Actions!$B$6:$B$105,B39,Actions!$I$6:$I$105,"Open"))</f>
        <v/>
      </c>
      <c r="Y39" s="15" t="str">
        <f>IF(B39="","",IF(INDEX(Tracker!$AB$6:$AB$65,MATCH(20,Tracker!$AE$6:$AE$65,0))=0,"",INDEX(Tracker!$AB$6:$AB$65,MATCH(20,Tracker!$AE$6:$AE$65,0))))</f>
        <v/>
      </c>
      <c r="Z39" s="57" t="str">
        <f>IFERROR(INDEX(Tracker!$K$6:$K$65,MATCH(20,Tracker!$AE$6:$AE$65,0)),"")</f>
        <v/>
      </c>
    </row>
  </sheetData>
  <mergeCells count="2">
    <mergeCell ref="C4:E4"/>
    <mergeCell ref="H4:K4"/>
  </mergeCells>
  <conditionalFormatting sqref="F20:I39">
    <cfRule type="expression" dxfId="55" priority="6">
      <formula>$Z20="%"</formula>
    </cfRule>
    <cfRule type="expression" dxfId="54" priority="7">
      <formula>$Z20="Months"</formula>
    </cfRule>
    <cfRule type="expression" dxfId="53" priority="8">
      <formula>$Z20="Amount"</formula>
    </cfRule>
  </conditionalFormatting>
  <conditionalFormatting sqref="H11:H16">
    <cfRule type="cellIs" dxfId="52" priority="2" operator="equal">
      <formula>"On track"</formula>
    </cfRule>
    <cfRule type="cellIs" dxfId="51" priority="3" operator="equal">
      <formula>"Watch"</formula>
    </cfRule>
    <cfRule type="cellIs" dxfId="50" priority="4" operator="equal">
      <formula>"Off track"</formula>
    </cfRule>
  </conditionalFormatting>
  <conditionalFormatting sqref="J20:J39">
    <cfRule type="cellIs" dxfId="49" priority="9" operator="equal">
      <formula>"Green"</formula>
    </cfRule>
    <cfRule type="cellIs" dxfId="48" priority="10" operator="equal">
      <formula>"Amber"</formula>
    </cfRule>
    <cfRule type="cellIs" dxfId="47" priority="11" operator="equal">
      <formula>"Red"</formula>
    </cfRule>
    <cfRule type="cellIs" dxfId="46" priority="12" operator="equal">
      <formula>"No data"</formula>
    </cfRule>
  </conditionalFormatting>
  <conditionalFormatting sqref="K20:K39">
    <cfRule type="cellIs" dxfId="45" priority="16" operator="equal">
      <formula>"Worsening"</formula>
    </cfRule>
    <cfRule type="cellIs" dxfId="44" priority="17" operator="equal">
      <formula>"Improving"</formula>
    </cfRule>
  </conditionalFormatting>
  <conditionalFormatting sqref="L20:W39">
    <cfRule type="cellIs" dxfId="42" priority="13" operator="equal">
      <formula>"G"</formula>
    </cfRule>
    <cfRule type="cellIs" dxfId="41" priority="14" operator="equal">
      <formula>"A"</formula>
    </cfRule>
    <cfRule type="cellIs" dxfId="40" priority="15" operator="equal">
      <formula>"R"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00000000-000E-0000-0200-000005000000}">
            <xm:f>COLUMN(L19)-COLUMN($L19)+1=Setup!$B$7</xm:f>
            <x14:dxf>
              <fill>
                <patternFill>
                  <bgColor rgb="FFE2A93B"/>
                </patternFill>
              </fill>
            </x14:dxf>
          </x14:cfRule>
          <xm:sqref>L19:W19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="Pick a value from the list." xr:uid="{00000000-0002-0000-0200-000000000000}">
          <x14:formula1>
            <xm:f>Setup!$A$13:$A$27</xm:f>
          </x14:formula1>
          <x14:formula2>
            <xm:f>0</xm:f>
          </x14:formula2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3B2F"/>
  </sheetPr>
  <dimension ref="A1:D27"/>
  <sheetViews>
    <sheetView showGridLines="0" zoomScaleNormal="100" workbookViewId="0">
      <selection activeCell="A13" sqref="A13:A20"/>
    </sheetView>
  </sheetViews>
  <sheetFormatPr defaultColWidth="8.6640625" defaultRowHeight="14.25" x14ac:dyDescent="0.45"/>
  <cols>
    <col min="1" max="1" width="26" customWidth="1"/>
    <col min="2" max="2" width="30" customWidth="1"/>
    <col min="3" max="4" width="14" customWidth="1"/>
  </cols>
  <sheetData>
    <row r="1" spans="1:4" ht="20.65" x14ac:dyDescent="0.6">
      <c r="A1" s="11" t="s">
        <v>98</v>
      </c>
    </row>
    <row r="2" spans="1:4" x14ac:dyDescent="0.45">
      <c r="A2" s="12" t="s">
        <v>99</v>
      </c>
    </row>
    <row r="4" spans="1:4" x14ac:dyDescent="0.45">
      <c r="A4" s="42" t="s">
        <v>100</v>
      </c>
      <c r="B4" s="20" t="s">
        <v>101</v>
      </c>
    </row>
    <row r="5" spans="1:4" x14ac:dyDescent="0.45">
      <c r="A5" s="42" t="s">
        <v>102</v>
      </c>
      <c r="B5" s="60">
        <v>2026</v>
      </c>
    </row>
    <row r="6" spans="1:4" x14ac:dyDescent="0.45">
      <c r="A6" s="42" t="s">
        <v>103</v>
      </c>
      <c r="B6" s="20" t="s">
        <v>76</v>
      </c>
    </row>
    <row r="7" spans="1:4" x14ac:dyDescent="0.45">
      <c r="A7" s="42" t="s">
        <v>104</v>
      </c>
      <c r="B7" s="61">
        <f>MATCH(B6,Lists!$A$6:$A$17,0)</f>
        <v>9</v>
      </c>
    </row>
    <row r="8" spans="1:4" x14ac:dyDescent="0.45">
      <c r="A8" s="42" t="s">
        <v>105</v>
      </c>
      <c r="B8" s="62">
        <f>DATE(B5,B7+1,0)</f>
        <v>46295</v>
      </c>
    </row>
    <row r="11" spans="1:4" ht="15.4" x14ac:dyDescent="0.45">
      <c r="A11" s="13" t="s">
        <v>106</v>
      </c>
    </row>
    <row r="12" spans="1:4" ht="30" customHeight="1" x14ac:dyDescent="0.45">
      <c r="A12" s="33" t="s">
        <v>59</v>
      </c>
      <c r="B12" s="33" t="s">
        <v>107</v>
      </c>
      <c r="C12" s="33" t="s">
        <v>108</v>
      </c>
      <c r="D12" s="33" t="s">
        <v>7</v>
      </c>
    </row>
    <row r="13" spans="1:4" x14ac:dyDescent="0.45">
      <c r="A13" s="20" t="s">
        <v>109</v>
      </c>
      <c r="B13" s="20" t="s">
        <v>110</v>
      </c>
      <c r="C13" s="50">
        <f>IF(A13="","",COUNTIF(Cascade!$D$6:$D$65,A13))</f>
        <v>2</v>
      </c>
      <c r="D13" s="50">
        <f>IF(A13="","",COUNTIF(Measures!$F$6:$F$65,A13))</f>
        <v>5</v>
      </c>
    </row>
    <row r="14" spans="1:4" x14ac:dyDescent="0.45">
      <c r="A14" s="20" t="s">
        <v>111</v>
      </c>
      <c r="B14" s="20" t="s">
        <v>112</v>
      </c>
      <c r="C14" s="50">
        <f>IF(A14="","",COUNTIF(Cascade!$D$6:$D$65,A14))</f>
        <v>2</v>
      </c>
      <c r="D14" s="50">
        <f>IF(A14="","",COUNTIF(Measures!$F$6:$F$65,A14))</f>
        <v>3</v>
      </c>
    </row>
    <row r="15" spans="1:4" x14ac:dyDescent="0.45">
      <c r="A15" s="20" t="s">
        <v>113</v>
      </c>
      <c r="B15" s="20" t="s">
        <v>114</v>
      </c>
      <c r="C15" s="50">
        <f>IF(A15="","",COUNTIF(Cascade!$D$6:$D$65,A15))</f>
        <v>1</v>
      </c>
      <c r="D15" s="50">
        <f>IF(A15="","",COUNTIF(Measures!$F$6:$F$65,A15))</f>
        <v>4</v>
      </c>
    </row>
    <row r="16" spans="1:4" x14ac:dyDescent="0.45">
      <c r="A16" s="20" t="s">
        <v>89</v>
      </c>
      <c r="B16" s="20" t="s">
        <v>115</v>
      </c>
      <c r="C16" s="50">
        <f>IF(A16="","",COUNTIF(Cascade!$D$6:$D$65,A16))</f>
        <v>1</v>
      </c>
      <c r="D16" s="50">
        <f>IF(A16="","",COUNTIF(Measures!$F$6:$F$65,A16))</f>
        <v>4</v>
      </c>
    </row>
    <row r="17" spans="1:4" x14ac:dyDescent="0.45">
      <c r="A17" s="20" t="s">
        <v>116</v>
      </c>
      <c r="B17" s="20" t="s">
        <v>117</v>
      </c>
      <c r="C17" s="50">
        <f>IF(A17="","",COUNTIF(Cascade!$D$6:$D$65,A17))</f>
        <v>1</v>
      </c>
      <c r="D17" s="50">
        <f>IF(A17="","",COUNTIF(Measures!$F$6:$F$65,A17))</f>
        <v>3</v>
      </c>
    </row>
    <row r="18" spans="1:4" x14ac:dyDescent="0.45">
      <c r="A18" s="20" t="s">
        <v>118</v>
      </c>
      <c r="B18" s="20" t="s">
        <v>119</v>
      </c>
      <c r="C18" s="50">
        <f>IF(A18="","",COUNTIF(Cascade!$D$6:$D$65,A18))</f>
        <v>1</v>
      </c>
      <c r="D18" s="50">
        <f>IF(A18="","",COUNTIF(Measures!$F$6:$F$65,A18))</f>
        <v>3</v>
      </c>
    </row>
    <row r="19" spans="1:4" x14ac:dyDescent="0.45">
      <c r="A19" s="20" t="s">
        <v>120</v>
      </c>
      <c r="B19" s="20" t="s">
        <v>121</v>
      </c>
      <c r="C19" s="50">
        <f>IF(A19="","",COUNTIF(Cascade!$D$6:$D$65,A19))</f>
        <v>1</v>
      </c>
      <c r="D19" s="50">
        <f>IF(A19="","",COUNTIF(Measures!$F$6:$F$65,A19))</f>
        <v>2</v>
      </c>
    </row>
    <row r="20" spans="1:4" x14ac:dyDescent="0.45">
      <c r="A20" s="20"/>
      <c r="B20" s="20"/>
      <c r="C20" s="50" t="str">
        <f>IF(A20="","",COUNTIF(Cascade!$D$6:$D$65,A20))</f>
        <v/>
      </c>
      <c r="D20" s="50" t="str">
        <f>IF(A20="","",COUNTIF(Measures!$F$6:$F$65,A20))</f>
        <v/>
      </c>
    </row>
    <row r="21" spans="1:4" x14ac:dyDescent="0.45">
      <c r="A21" s="20"/>
      <c r="B21" s="20"/>
      <c r="C21" s="50" t="str">
        <f>IF(A21="","",COUNTIF(Cascade!$D$6:$D$65,A21))</f>
        <v/>
      </c>
      <c r="D21" s="50" t="str">
        <f>IF(A21="","",COUNTIF(Measures!$F$6:$F$65,A21))</f>
        <v/>
      </c>
    </row>
    <row r="22" spans="1:4" x14ac:dyDescent="0.45">
      <c r="A22" s="20"/>
      <c r="B22" s="20"/>
      <c r="C22" s="50" t="str">
        <f>IF(A22="","",COUNTIF(Cascade!$D$6:$D$65,A22))</f>
        <v/>
      </c>
      <c r="D22" s="50" t="str">
        <f>IF(A22="","",COUNTIF(Measures!$F$6:$F$65,A22))</f>
        <v/>
      </c>
    </row>
    <row r="23" spans="1:4" x14ac:dyDescent="0.45">
      <c r="A23" s="20"/>
      <c r="B23" s="20"/>
      <c r="C23" s="50" t="str">
        <f>IF(A23="","",COUNTIF(Cascade!$D$6:$D$65,A23))</f>
        <v/>
      </c>
      <c r="D23" s="50" t="str">
        <f>IF(A23="","",COUNTIF(Measures!$F$6:$F$65,A23))</f>
        <v/>
      </c>
    </row>
    <row r="24" spans="1:4" x14ac:dyDescent="0.45">
      <c r="A24" s="20"/>
      <c r="B24" s="20"/>
      <c r="C24" s="50" t="str">
        <f>IF(A24="","",COUNTIF(Cascade!$D$6:$D$65,A24))</f>
        <v/>
      </c>
      <c r="D24" s="50" t="str">
        <f>IF(A24="","",COUNTIF(Measures!$F$6:$F$65,A24))</f>
        <v/>
      </c>
    </row>
    <row r="25" spans="1:4" x14ac:dyDescent="0.45">
      <c r="A25" s="20"/>
      <c r="B25" s="20"/>
      <c r="C25" s="50" t="str">
        <f>IF(A25="","",COUNTIF(Cascade!$D$6:$D$65,A25))</f>
        <v/>
      </c>
      <c r="D25" s="50" t="str">
        <f>IF(A25="","",COUNTIF(Measures!$F$6:$F$65,A25))</f>
        <v/>
      </c>
    </row>
    <row r="26" spans="1:4" x14ac:dyDescent="0.45">
      <c r="A26" s="20"/>
      <c r="B26" s="20"/>
      <c r="C26" s="50" t="str">
        <f>IF(A26="","",COUNTIF(Cascade!$D$6:$D$65,A26))</f>
        <v/>
      </c>
      <c r="D26" s="50" t="str">
        <f>IF(A26="","",COUNTIF(Measures!$F$6:$F$65,A26))</f>
        <v/>
      </c>
    </row>
    <row r="27" spans="1:4" x14ac:dyDescent="0.45">
      <c r="A27" s="20"/>
      <c r="B27" s="20"/>
      <c r="C27" s="50" t="str">
        <f>IF(A27="","",COUNTIF(Cascade!$D$6:$D$65,A27))</f>
        <v/>
      </c>
      <c r="D27" s="50" t="str">
        <f>IF(A27="","",COUNTIF(Measures!$F$6:$F$65,A27))</f>
        <v/>
      </c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="Pick a value from the list." xr:uid="{00000000-0002-0000-0300-000000000000}">
          <x14:formula1>
            <xm:f>Lists!$A$6:$A$17</xm:f>
          </x14:formula1>
          <x14:formula2>
            <xm:f>0</xm:f>
          </x14:formula2>
          <xm:sqref>B6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3B2F"/>
  </sheetPr>
  <dimension ref="A1:K1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14" sqref="D14"/>
    </sheetView>
  </sheetViews>
  <sheetFormatPr defaultColWidth="8.6640625" defaultRowHeight="14.25" x14ac:dyDescent="0.45"/>
  <cols>
    <col min="1" max="1" width="7" customWidth="1"/>
    <col min="2" max="2" width="12" customWidth="1"/>
    <col min="3" max="3" width="38" customWidth="1"/>
    <col min="4" max="4" width="40" customWidth="1"/>
    <col min="5" max="5" width="16" customWidth="1"/>
    <col min="6" max="6" width="10" customWidth="1"/>
    <col min="7" max="9" width="8" customWidth="1"/>
    <col min="10" max="10" width="9" customWidth="1"/>
    <col min="11" max="11" width="11" customWidth="1"/>
  </cols>
  <sheetData>
    <row r="1" spans="1:11" ht="20.65" x14ac:dyDescent="0.6">
      <c r="A1" s="11" t="s">
        <v>122</v>
      </c>
    </row>
    <row r="2" spans="1:11" x14ac:dyDescent="0.45">
      <c r="A2" s="12" t="s">
        <v>123</v>
      </c>
    </row>
    <row r="3" spans="1:11" ht="30" customHeight="1" x14ac:dyDescent="0.45">
      <c r="A3" s="72" t="s">
        <v>124</v>
      </c>
      <c r="B3" s="73"/>
      <c r="C3" s="1" t="s">
        <v>125</v>
      </c>
      <c r="D3" s="1"/>
      <c r="E3" s="1"/>
      <c r="F3" s="1"/>
    </row>
    <row r="5" spans="1:11" ht="30" customHeight="1" x14ac:dyDescent="0.45">
      <c r="A5" s="33" t="s">
        <v>55</v>
      </c>
      <c r="B5" s="33" t="s">
        <v>126</v>
      </c>
      <c r="C5" s="33" t="s">
        <v>127</v>
      </c>
      <c r="D5" s="33" t="s">
        <v>128</v>
      </c>
      <c r="E5" s="33" t="s">
        <v>129</v>
      </c>
      <c r="F5" s="33" t="s">
        <v>7</v>
      </c>
      <c r="G5" s="33" t="s">
        <v>29</v>
      </c>
      <c r="H5" s="33" t="s">
        <v>31</v>
      </c>
      <c r="I5" s="33" t="s">
        <v>33</v>
      </c>
      <c r="J5" s="33" t="s">
        <v>37</v>
      </c>
      <c r="K5" s="33" t="s">
        <v>57</v>
      </c>
    </row>
    <row r="6" spans="1:11" x14ac:dyDescent="0.45">
      <c r="A6" s="20" t="s">
        <v>130</v>
      </c>
      <c r="B6" s="20" t="s">
        <v>131</v>
      </c>
      <c r="C6" s="20" t="s">
        <v>132</v>
      </c>
      <c r="D6" s="20" t="s">
        <v>133</v>
      </c>
      <c r="E6" s="20" t="s">
        <v>134</v>
      </c>
      <c r="F6" s="50">
        <f>IF($A6="","",COUNTIF(Tracker!$F$6:$F$65,$A6))</f>
        <v>5</v>
      </c>
      <c r="G6" s="50">
        <f>IF($A6="","",COUNTIFS(Tracker!$F$6:$F$65,$A6,Tracker!$Z$6:$Z$65,"Green"))</f>
        <v>3</v>
      </c>
      <c r="H6" s="50">
        <f>IF($A6="","",COUNTIFS(Tracker!$F$6:$F$65,$A6,Tracker!$Z$6:$Z$65,"Amber"))</f>
        <v>2</v>
      </c>
      <c r="I6" s="50">
        <f>IF($A6="","",COUNTIFS(Tracker!$F$6:$F$65,$A6,Tracker!$Z$6:$Z$65,"Red"))</f>
        <v>0</v>
      </c>
      <c r="J6" s="51">
        <f t="shared" ref="J6:J15" si="0">IF(OR($A6="",SUM(G6:I6)=0),"",(G6+0.5*H6)/SUM(G6:I6))</f>
        <v>0.8</v>
      </c>
      <c r="K6" s="29" t="str">
        <f t="shared" ref="K6:K15" si="1">IF(J6="","",IF(J6&gt;=0.75,"On track",IF(J6&gt;=0.5,"Watch","Off track")))</f>
        <v>On track</v>
      </c>
    </row>
    <row r="7" spans="1:11" x14ac:dyDescent="0.45">
      <c r="A7" s="20" t="s">
        <v>135</v>
      </c>
      <c r="B7" s="20" t="s">
        <v>136</v>
      </c>
      <c r="C7" s="20" t="s">
        <v>137</v>
      </c>
      <c r="D7" s="20" t="s">
        <v>138</v>
      </c>
      <c r="E7" s="20" t="s">
        <v>134</v>
      </c>
      <c r="F7" s="50">
        <f>IF($A7="","",COUNTIF(Tracker!$F$6:$F$65,$A7))</f>
        <v>3</v>
      </c>
      <c r="G7" s="50">
        <f>IF($A7="","",COUNTIFS(Tracker!$F$6:$F$65,$A7,Tracker!$Z$6:$Z$65,"Green"))</f>
        <v>1</v>
      </c>
      <c r="H7" s="50">
        <f>IF($A7="","",COUNTIFS(Tracker!$F$6:$F$65,$A7,Tracker!$Z$6:$Z$65,"Amber"))</f>
        <v>1</v>
      </c>
      <c r="I7" s="50">
        <f>IF($A7="","",COUNTIFS(Tracker!$F$6:$F$65,$A7,Tracker!$Z$6:$Z$65,"Red"))</f>
        <v>1</v>
      </c>
      <c r="J7" s="51">
        <f t="shared" si="0"/>
        <v>0.5</v>
      </c>
      <c r="K7" s="29" t="str">
        <f t="shared" si="1"/>
        <v>Watch</v>
      </c>
    </row>
    <row r="8" spans="1:11" x14ac:dyDescent="0.45">
      <c r="A8" s="20" t="s">
        <v>139</v>
      </c>
      <c r="B8" s="20" t="s">
        <v>140</v>
      </c>
      <c r="C8" s="20" t="s">
        <v>141</v>
      </c>
      <c r="D8" s="20" t="s">
        <v>142</v>
      </c>
      <c r="E8" s="20" t="s">
        <v>115</v>
      </c>
      <c r="F8" s="50">
        <f>IF($A8="","",COUNTIF(Tracker!$F$6:$F$65,$A8))</f>
        <v>8</v>
      </c>
      <c r="G8" s="50">
        <f>IF($A8="","",COUNTIFS(Tracker!$F$6:$F$65,$A8,Tracker!$Z$6:$Z$65,"Green"))</f>
        <v>3</v>
      </c>
      <c r="H8" s="50">
        <f>IF($A8="","",COUNTIFS(Tracker!$F$6:$F$65,$A8,Tracker!$Z$6:$Z$65,"Amber"))</f>
        <v>3</v>
      </c>
      <c r="I8" s="50">
        <f>IF($A8="","",COUNTIFS(Tracker!$F$6:$F$65,$A8,Tracker!$Z$6:$Z$65,"Red"))</f>
        <v>2</v>
      </c>
      <c r="J8" s="51">
        <f t="shared" si="0"/>
        <v>0.5625</v>
      </c>
      <c r="K8" s="29" t="str">
        <f t="shared" si="1"/>
        <v>Watch</v>
      </c>
    </row>
    <row r="9" spans="1:11" x14ac:dyDescent="0.45">
      <c r="A9" s="20" t="s">
        <v>143</v>
      </c>
      <c r="B9" s="20" t="s">
        <v>144</v>
      </c>
      <c r="C9" s="20" t="s">
        <v>145</v>
      </c>
      <c r="D9" s="20" t="s">
        <v>146</v>
      </c>
      <c r="E9" s="20" t="s">
        <v>134</v>
      </c>
      <c r="F9" s="50">
        <f>IF($A9="","",COUNTIF(Tracker!$F$6:$F$65,$A9))</f>
        <v>3</v>
      </c>
      <c r="G9" s="50">
        <f>IF($A9="","",COUNTIFS(Tracker!$F$6:$F$65,$A9,Tracker!$Z$6:$Z$65,"Green"))</f>
        <v>1</v>
      </c>
      <c r="H9" s="50">
        <f>IF($A9="","",COUNTIFS(Tracker!$F$6:$F$65,$A9,Tracker!$Z$6:$Z$65,"Amber"))</f>
        <v>1</v>
      </c>
      <c r="I9" s="50">
        <f>IF($A9="","",COUNTIFS(Tracker!$F$6:$F$65,$A9,Tracker!$Z$6:$Z$65,"Red"))</f>
        <v>1</v>
      </c>
      <c r="J9" s="51">
        <f t="shared" si="0"/>
        <v>0.5</v>
      </c>
      <c r="K9" s="29" t="str">
        <f t="shared" si="1"/>
        <v>Watch</v>
      </c>
    </row>
    <row r="10" spans="1:11" ht="25.5" x14ac:dyDescent="0.45">
      <c r="A10" s="20" t="s">
        <v>147</v>
      </c>
      <c r="B10" s="20" t="s">
        <v>148</v>
      </c>
      <c r="C10" s="20" t="s">
        <v>149</v>
      </c>
      <c r="D10" s="20" t="s">
        <v>150</v>
      </c>
      <c r="E10" s="20" t="s">
        <v>151</v>
      </c>
      <c r="F10" s="50">
        <f>IF($A10="","",COUNTIF(Tracker!$F$6:$F$65,$A10))</f>
        <v>5</v>
      </c>
      <c r="G10" s="50">
        <f>IF($A10="","",COUNTIFS(Tracker!$F$6:$F$65,$A10,Tracker!$Z$6:$Z$65,"Green"))</f>
        <v>2</v>
      </c>
      <c r="H10" s="50">
        <f>IF($A10="","",COUNTIFS(Tracker!$F$6:$F$65,$A10,Tracker!$Z$6:$Z$65,"Amber"))</f>
        <v>1</v>
      </c>
      <c r="I10" s="50">
        <f>IF($A10="","",COUNTIFS(Tracker!$F$6:$F$65,$A10,Tracker!$Z$6:$Z$65,"Red"))</f>
        <v>2</v>
      </c>
      <c r="J10" s="51">
        <f t="shared" si="0"/>
        <v>0.5</v>
      </c>
      <c r="K10" s="29" t="str">
        <f t="shared" si="1"/>
        <v>Watch</v>
      </c>
    </row>
    <row r="11" spans="1:11" x14ac:dyDescent="0.45">
      <c r="A11" s="20"/>
      <c r="B11" s="20"/>
      <c r="C11" s="20"/>
      <c r="D11" s="20"/>
      <c r="E11" s="20"/>
      <c r="F11" s="50" t="str">
        <f>IF($A11="","",COUNTIF(Tracker!$F$6:$F$65,$A11))</f>
        <v/>
      </c>
      <c r="G11" s="50" t="str">
        <f>IF($A11="","",COUNTIFS(Tracker!$F$6:$F$65,$A11,Tracker!$Z$6:$Z$65,"Green"))</f>
        <v/>
      </c>
      <c r="H11" s="50" t="str">
        <f>IF($A11="","",COUNTIFS(Tracker!$F$6:$F$65,$A11,Tracker!$Z$6:$Z$65,"Amber"))</f>
        <v/>
      </c>
      <c r="I11" s="50" t="str">
        <f>IF($A11="","",COUNTIFS(Tracker!$F$6:$F$65,$A11,Tracker!$Z$6:$Z$65,"Red"))</f>
        <v/>
      </c>
      <c r="J11" s="51" t="str">
        <f t="shared" si="0"/>
        <v/>
      </c>
      <c r="K11" s="29" t="str">
        <f t="shared" si="1"/>
        <v/>
      </c>
    </row>
    <row r="12" spans="1:11" x14ac:dyDescent="0.45">
      <c r="A12" s="20"/>
      <c r="B12" s="20"/>
      <c r="C12" s="20"/>
      <c r="D12" s="20"/>
      <c r="E12" s="20"/>
      <c r="F12" s="50" t="str">
        <f>IF($A12="","",COUNTIF(Tracker!$F$6:$F$65,$A12))</f>
        <v/>
      </c>
      <c r="G12" s="50" t="str">
        <f>IF($A12="","",COUNTIFS(Tracker!$F$6:$F$65,$A12,Tracker!$Z$6:$Z$65,"Green"))</f>
        <v/>
      </c>
      <c r="H12" s="50" t="str">
        <f>IF($A12="","",COUNTIFS(Tracker!$F$6:$F$65,$A12,Tracker!$Z$6:$Z$65,"Amber"))</f>
        <v/>
      </c>
      <c r="I12" s="50" t="str">
        <f>IF($A12="","",COUNTIFS(Tracker!$F$6:$F$65,$A12,Tracker!$Z$6:$Z$65,"Red"))</f>
        <v/>
      </c>
      <c r="J12" s="51" t="str">
        <f t="shared" si="0"/>
        <v/>
      </c>
      <c r="K12" s="29" t="str">
        <f t="shared" si="1"/>
        <v/>
      </c>
    </row>
    <row r="13" spans="1:11" x14ac:dyDescent="0.45">
      <c r="A13" s="20"/>
      <c r="B13" s="20"/>
      <c r="C13" s="20"/>
      <c r="D13" s="20"/>
      <c r="E13" s="20"/>
      <c r="F13" s="50" t="str">
        <f>IF($A13="","",COUNTIF(Tracker!$F$6:$F$65,$A13))</f>
        <v/>
      </c>
      <c r="G13" s="50" t="str">
        <f>IF($A13="","",COUNTIFS(Tracker!$F$6:$F$65,$A13,Tracker!$Z$6:$Z$65,"Green"))</f>
        <v/>
      </c>
      <c r="H13" s="50" t="str">
        <f>IF($A13="","",COUNTIFS(Tracker!$F$6:$F$65,$A13,Tracker!$Z$6:$Z$65,"Amber"))</f>
        <v/>
      </c>
      <c r="I13" s="50" t="str">
        <f>IF($A13="","",COUNTIFS(Tracker!$F$6:$F$65,$A13,Tracker!$Z$6:$Z$65,"Red"))</f>
        <v/>
      </c>
      <c r="J13" s="51" t="str">
        <f t="shared" si="0"/>
        <v/>
      </c>
      <c r="K13" s="29" t="str">
        <f t="shared" si="1"/>
        <v/>
      </c>
    </row>
    <row r="14" spans="1:11" x14ac:dyDescent="0.45">
      <c r="A14" s="20"/>
      <c r="B14" s="20"/>
      <c r="C14" s="20"/>
      <c r="D14" s="20"/>
      <c r="E14" s="20"/>
      <c r="F14" s="50" t="str">
        <f>IF($A14="","",COUNTIF(Tracker!$F$6:$F$65,$A14))</f>
        <v/>
      </c>
      <c r="G14" s="50" t="str">
        <f>IF($A14="","",COUNTIFS(Tracker!$F$6:$F$65,$A14,Tracker!$Z$6:$Z$65,"Green"))</f>
        <v/>
      </c>
      <c r="H14" s="50" t="str">
        <f>IF($A14="","",COUNTIFS(Tracker!$F$6:$F$65,$A14,Tracker!$Z$6:$Z$65,"Amber"))</f>
        <v/>
      </c>
      <c r="I14" s="50" t="str">
        <f>IF($A14="","",COUNTIFS(Tracker!$F$6:$F$65,$A14,Tracker!$Z$6:$Z$65,"Red"))</f>
        <v/>
      </c>
      <c r="J14" s="51" t="str">
        <f t="shared" si="0"/>
        <v/>
      </c>
      <c r="K14" s="29" t="str">
        <f t="shared" si="1"/>
        <v/>
      </c>
    </row>
    <row r="15" spans="1:11" x14ac:dyDescent="0.45">
      <c r="A15" s="20"/>
      <c r="B15" s="20"/>
      <c r="C15" s="20"/>
      <c r="D15" s="20"/>
      <c r="E15" s="20"/>
      <c r="F15" s="50" t="str">
        <f>IF($A15="","",COUNTIF(Tracker!$F$6:$F$65,$A15))</f>
        <v/>
      </c>
      <c r="G15" s="50" t="str">
        <f>IF($A15="","",COUNTIFS(Tracker!$F$6:$F$65,$A15,Tracker!$Z$6:$Z$65,"Green"))</f>
        <v/>
      </c>
      <c r="H15" s="50" t="str">
        <f>IF($A15="","",COUNTIFS(Tracker!$F$6:$F$65,$A15,Tracker!$Z$6:$Z$65,"Amber"))</f>
        <v/>
      </c>
      <c r="I15" s="50" t="str">
        <f>IF($A15="","",COUNTIFS(Tracker!$F$6:$F$65,$A15,Tracker!$Z$6:$Z$65,"Red"))</f>
        <v/>
      </c>
      <c r="J15" s="51" t="str">
        <f t="shared" si="0"/>
        <v/>
      </c>
      <c r="K15" s="29" t="str">
        <f t="shared" si="1"/>
        <v/>
      </c>
    </row>
  </sheetData>
  <mergeCells count="2">
    <mergeCell ref="C3:F3"/>
    <mergeCell ref="A3:B3"/>
  </mergeCells>
  <conditionalFormatting sqref="K6:K15">
    <cfRule type="cellIs" dxfId="39" priority="2" operator="equal">
      <formula>"On track"</formula>
    </cfRule>
    <cfRule type="cellIs" dxfId="38" priority="3" operator="equal">
      <formula>"Watch"</formula>
    </cfRule>
    <cfRule type="cellIs" dxfId="37" priority="4" operator="equal">
      <formula>"Off track"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="Pick a value from the list." xr:uid="{00000000-0002-0000-0400-000000000000}">
          <x14:formula1>
            <xm:f>Lists!$G$6:$G$20</xm:f>
          </x14:formula1>
          <x14:formula2>
            <xm:f>0</xm:f>
          </x14:formula2>
          <xm:sqref>B6:B15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3B2F"/>
  </sheetPr>
  <dimension ref="A1:O65"/>
  <sheetViews>
    <sheetView showGridLines="0" zoomScaleNormal="100" workbookViewId="0">
      <pane xSplit="1" ySplit="5" topLeftCell="D6" activePane="bottomRight" state="frozen"/>
      <selection pane="topRight" activeCell="B1" sqref="B1"/>
      <selection pane="bottomLeft" activeCell="A6" sqref="A6"/>
      <selection pane="bottomRight" activeCell="O8" sqref="O8"/>
    </sheetView>
  </sheetViews>
  <sheetFormatPr defaultColWidth="8.6640625" defaultRowHeight="14.25" x14ac:dyDescent="0.45"/>
  <cols>
    <col min="1" max="1" width="7" customWidth="1"/>
    <col min="2" max="2" width="11" customWidth="1"/>
    <col min="3" max="3" width="30" customWidth="1"/>
    <col min="4" max="4" width="20" customWidth="1"/>
    <col min="5" max="5" width="40" customWidth="1"/>
    <col min="6" max="6" width="22" customWidth="1"/>
    <col min="7" max="11" width="7" customWidth="1"/>
    <col min="12" max="12" width="8" customWidth="1"/>
    <col min="13" max="13" width="10" customWidth="1"/>
    <col min="14" max="14" width="13" customWidth="1"/>
    <col min="15" max="15" width="8.1328125" customWidth="1"/>
  </cols>
  <sheetData>
    <row r="1" spans="1:15" ht="20.65" x14ac:dyDescent="0.6">
      <c r="A1" s="11" t="s">
        <v>152</v>
      </c>
    </row>
    <row r="2" spans="1:15" x14ac:dyDescent="0.45">
      <c r="A2" s="12" t="s">
        <v>153</v>
      </c>
    </row>
    <row r="5" spans="1:15" ht="30" customHeight="1" x14ac:dyDescent="0.45">
      <c r="A5" s="33" t="s">
        <v>55</v>
      </c>
      <c r="B5" s="33" t="s">
        <v>154</v>
      </c>
      <c r="C5" s="33" t="s">
        <v>127</v>
      </c>
      <c r="D5" s="33" t="s">
        <v>59</v>
      </c>
      <c r="E5" s="33" t="s">
        <v>155</v>
      </c>
      <c r="F5" s="33" t="s">
        <v>87</v>
      </c>
      <c r="G5" s="33" t="s">
        <v>61</v>
      </c>
      <c r="H5" s="33" t="s">
        <v>62</v>
      </c>
      <c r="I5" s="33" t="s">
        <v>29</v>
      </c>
      <c r="J5" s="33" t="s">
        <v>31</v>
      </c>
      <c r="K5" s="33" t="s">
        <v>33</v>
      </c>
      <c r="L5" s="33" t="s">
        <v>37</v>
      </c>
      <c r="M5" s="33" t="s">
        <v>57</v>
      </c>
      <c r="N5" s="33" t="s">
        <v>156</v>
      </c>
      <c r="O5" s="33" t="s">
        <v>157</v>
      </c>
    </row>
    <row r="6" spans="1:15" x14ac:dyDescent="0.45">
      <c r="A6" s="20" t="s">
        <v>158</v>
      </c>
      <c r="B6" s="20" t="s">
        <v>130</v>
      </c>
      <c r="C6" s="15" t="str">
        <f>IF(B6="","",IFERROR(INDEX(Strategy!$C$6:$C$15,MATCH(B6,Strategy!$A$6:$A$15,0)),"Not found"))</f>
        <v>Grow revenue by 15% a year</v>
      </c>
      <c r="D6" s="20" t="s">
        <v>109</v>
      </c>
      <c r="E6" s="20" t="s">
        <v>159</v>
      </c>
      <c r="F6" s="20" t="s">
        <v>160</v>
      </c>
      <c r="G6" s="50">
        <f>IF($A6="","",COUNTIFS(Measures!$E$6:$E$65,$A6,Measures!$B$6:$B$65,"KPI"))</f>
        <v>2</v>
      </c>
      <c r="H6" s="50">
        <f>IF($A6="","",COUNTIFS(Measures!$E$6:$E$65,$A6,Measures!$B$6:$B$65,"KRI"))</f>
        <v>1</v>
      </c>
      <c r="I6" s="50">
        <f>IF($A6="","",COUNTIFS(Tracker!$E$6:$E$65,$A6,Tracker!$Z$6:$Z$65,"Green"))</f>
        <v>1</v>
      </c>
      <c r="J6" s="50">
        <f>IF($A6="","",COUNTIFS(Tracker!$E$6:$E$65,$A6,Tracker!$Z$6:$Z$65,"Amber"))</f>
        <v>2</v>
      </c>
      <c r="K6" s="50">
        <f>IF($A6="","",COUNTIFS(Tracker!$E$6:$E$65,$A6,Tracker!$Z$6:$Z$65,"Red"))</f>
        <v>0</v>
      </c>
      <c r="L6" s="51">
        <f t="shared" ref="L6:L37" si="0">IF(OR($A6="",SUM(I6:K6)=0),"",(I6+0.5*J6)/SUM(I6:K6))</f>
        <v>0.66666666666666663</v>
      </c>
      <c r="M6" s="29" t="str">
        <f t="shared" ref="M6:M37" si="1">IF(L6="","",IF(L6&gt;=0.75,"On track",IF(L6&gt;=0.5,"Watch","Off track")))</f>
        <v>Watch</v>
      </c>
      <c r="N6" s="15" t="str">
        <f>IF($A6="","",IF(C6="Not found","Check company ID",IF(COUNTIF(Setup!$A$13:$A$27,D6)=0,"Check department",IF(G6+H6=0,"No measure","OK"))))</f>
        <v>OK</v>
      </c>
      <c r="O6" s="63" t="str">
        <f>IF(OR($A6="",$D6&lt;&gt;'Department view'!$C$4),"",COUNTIF($D$6:$D6,'Department view'!$C$4))</f>
        <v/>
      </c>
    </row>
    <row r="7" spans="1:15" x14ac:dyDescent="0.45">
      <c r="A7" s="20" t="s">
        <v>161</v>
      </c>
      <c r="B7" s="20" t="s">
        <v>130</v>
      </c>
      <c r="C7" s="15" t="str">
        <f>IF(B7="","",IFERROR(INDEX(Strategy!$C$6:$C$15,MATCH(B7,Strategy!$A$6:$A$15,0)),"Not found"))</f>
        <v>Grow revenue by 15% a year</v>
      </c>
      <c r="D7" s="20" t="s">
        <v>109</v>
      </c>
      <c r="E7" s="20" t="s">
        <v>162</v>
      </c>
      <c r="F7" s="20" t="s">
        <v>163</v>
      </c>
      <c r="G7" s="50">
        <f>IF($A7="","",COUNTIFS(Measures!$E$6:$E$65,$A7,Measures!$B$6:$B$65,"KPI"))</f>
        <v>2</v>
      </c>
      <c r="H7" s="50">
        <f>IF($A7="","",COUNTIFS(Measures!$E$6:$E$65,$A7,Measures!$B$6:$B$65,"KRI"))</f>
        <v>0</v>
      </c>
      <c r="I7" s="50">
        <f>IF($A7="","",COUNTIFS(Tracker!$E$6:$E$65,$A7,Tracker!$Z$6:$Z$65,"Green"))</f>
        <v>2</v>
      </c>
      <c r="J7" s="50">
        <f>IF($A7="","",COUNTIFS(Tracker!$E$6:$E$65,$A7,Tracker!$Z$6:$Z$65,"Amber"))</f>
        <v>0</v>
      </c>
      <c r="K7" s="50">
        <f>IF($A7="","",COUNTIFS(Tracker!$E$6:$E$65,$A7,Tracker!$Z$6:$Z$65,"Red"))</f>
        <v>0</v>
      </c>
      <c r="L7" s="51">
        <f t="shared" si="0"/>
        <v>1</v>
      </c>
      <c r="M7" s="29" t="str">
        <f t="shared" si="1"/>
        <v>On track</v>
      </c>
      <c r="N7" s="15" t="str">
        <f>IF($A7="","",IF(C7="Not found","Check company ID",IF(COUNTIF(Setup!$A$13:$A$27,D7)=0,"Check department",IF(G7+H7=0,"No measure","OK"))))</f>
        <v>OK</v>
      </c>
      <c r="O7" s="63" t="str">
        <f>IF(OR($A7="",$D7&lt;&gt;'Department view'!$C$4),"",COUNTIF($D$6:$D7,'Department view'!$C$4))</f>
        <v/>
      </c>
    </row>
    <row r="8" spans="1:15" x14ac:dyDescent="0.45">
      <c r="A8" s="20" t="s">
        <v>164</v>
      </c>
      <c r="B8" s="20" t="s">
        <v>135</v>
      </c>
      <c r="C8" s="15" t="str">
        <f>IF(B8="","",IFERROR(INDEX(Strategy!$C$6:$C$15,MATCH(B8,Strategy!$A$6:$A$15,0)),"Not found"))</f>
        <v>Customers come back more often</v>
      </c>
      <c r="D8" s="20" t="s">
        <v>111</v>
      </c>
      <c r="E8" s="20" t="s">
        <v>165</v>
      </c>
      <c r="F8" s="20" t="s">
        <v>112</v>
      </c>
      <c r="G8" s="50">
        <f>IF($A8="","",COUNTIFS(Measures!$E$6:$E$65,$A8,Measures!$B$6:$B$65,"KPI"))</f>
        <v>2</v>
      </c>
      <c r="H8" s="50">
        <f>IF($A8="","",COUNTIFS(Measures!$E$6:$E$65,$A8,Measures!$B$6:$B$65,"KRI"))</f>
        <v>0</v>
      </c>
      <c r="I8" s="50">
        <f>IF($A8="","",COUNTIFS(Tracker!$E$6:$E$65,$A8,Tracker!$Z$6:$Z$65,"Green"))</f>
        <v>1</v>
      </c>
      <c r="J8" s="50">
        <f>IF($A8="","",COUNTIFS(Tracker!$E$6:$E$65,$A8,Tracker!$Z$6:$Z$65,"Amber"))</f>
        <v>0</v>
      </c>
      <c r="K8" s="50">
        <f>IF($A8="","",COUNTIFS(Tracker!$E$6:$E$65,$A8,Tracker!$Z$6:$Z$65,"Red"))</f>
        <v>1</v>
      </c>
      <c r="L8" s="51">
        <f t="shared" si="0"/>
        <v>0.5</v>
      </c>
      <c r="M8" s="29" t="str">
        <f t="shared" si="1"/>
        <v>Watch</v>
      </c>
      <c r="N8" s="15" t="str">
        <f>IF($A8="","",IF(C8="Not found","Check company ID",IF(COUNTIF(Setup!$A$13:$A$27,D8)=0,"Check department",IF(G8+H8=0,"No measure","OK"))))</f>
        <v>OK</v>
      </c>
      <c r="O8" s="63">
        <f>IF(OR($A8="",$D8&lt;&gt;'Department view'!$C$4),"",COUNTIF($D$6:$D8,'Department view'!$C$4))</f>
        <v>1</v>
      </c>
    </row>
    <row r="9" spans="1:15" ht="25.5" x14ac:dyDescent="0.45">
      <c r="A9" s="20" t="s">
        <v>166</v>
      </c>
      <c r="B9" s="20" t="s">
        <v>135</v>
      </c>
      <c r="C9" s="15" t="str">
        <f>IF(B9="","",IFERROR(INDEX(Strategy!$C$6:$C$15,MATCH(B9,Strategy!$A$6:$A$15,0)),"Not found"))</f>
        <v>Customers come back more often</v>
      </c>
      <c r="D9" s="20" t="s">
        <v>111</v>
      </c>
      <c r="E9" s="20" t="s">
        <v>167</v>
      </c>
      <c r="F9" s="20" t="s">
        <v>168</v>
      </c>
      <c r="G9" s="50">
        <f>IF($A9="","",COUNTIFS(Measures!$E$6:$E$65,$A9,Measures!$B$6:$B$65,"KPI"))</f>
        <v>1</v>
      </c>
      <c r="H9" s="50">
        <f>IF($A9="","",COUNTIFS(Measures!$E$6:$E$65,$A9,Measures!$B$6:$B$65,"KRI"))</f>
        <v>0</v>
      </c>
      <c r="I9" s="50">
        <f>IF($A9="","",COUNTIFS(Tracker!$E$6:$E$65,$A9,Tracker!$Z$6:$Z$65,"Green"))</f>
        <v>0</v>
      </c>
      <c r="J9" s="50">
        <f>IF($A9="","",COUNTIFS(Tracker!$E$6:$E$65,$A9,Tracker!$Z$6:$Z$65,"Amber"))</f>
        <v>1</v>
      </c>
      <c r="K9" s="50">
        <f>IF($A9="","",COUNTIFS(Tracker!$E$6:$E$65,$A9,Tracker!$Z$6:$Z$65,"Red"))</f>
        <v>0</v>
      </c>
      <c r="L9" s="51">
        <f t="shared" si="0"/>
        <v>0.5</v>
      </c>
      <c r="M9" s="29" t="str">
        <f t="shared" si="1"/>
        <v>Watch</v>
      </c>
      <c r="N9" s="15" t="str">
        <f>IF($A9="","",IF(C9="Not found","Check company ID",IF(COUNTIF(Setup!$A$13:$A$27,D9)=0,"Check department",IF(G9+H9=0,"No measure","OK"))))</f>
        <v>OK</v>
      </c>
      <c r="O9" s="63">
        <f>IF(OR($A9="",$D9&lt;&gt;'Department view'!$C$4),"",COUNTIF($D$6:$D9,'Department view'!$C$4))</f>
        <v>2</v>
      </c>
    </row>
    <row r="10" spans="1:15" x14ac:dyDescent="0.45">
      <c r="A10" s="20" t="s">
        <v>169</v>
      </c>
      <c r="B10" s="20" t="s">
        <v>139</v>
      </c>
      <c r="C10" s="15" t="str">
        <f>IF(B10="","",IFERROR(INDEX(Strategy!$C$6:$C$15,MATCH(B10,Strategy!$A$6:$A$15,0)),"Not found"))</f>
        <v>Make more profit from every sale</v>
      </c>
      <c r="D10" s="20" t="s">
        <v>113</v>
      </c>
      <c r="E10" s="20" t="s">
        <v>170</v>
      </c>
      <c r="F10" s="20" t="s">
        <v>114</v>
      </c>
      <c r="G10" s="50">
        <f>IF($A10="","",COUNTIFS(Measures!$E$6:$E$65,$A10,Measures!$B$6:$B$65,"KPI"))</f>
        <v>2</v>
      </c>
      <c r="H10" s="50">
        <f>IF($A10="","",COUNTIFS(Measures!$E$6:$E$65,$A10,Measures!$B$6:$B$65,"KRI"))</f>
        <v>2</v>
      </c>
      <c r="I10" s="50">
        <f>IF($A10="","",COUNTIFS(Tracker!$E$6:$E$65,$A10,Tracker!$Z$6:$Z$65,"Green"))</f>
        <v>2</v>
      </c>
      <c r="J10" s="50">
        <f>IF($A10="","",COUNTIFS(Tracker!$E$6:$E$65,$A10,Tracker!$Z$6:$Z$65,"Amber"))</f>
        <v>1</v>
      </c>
      <c r="K10" s="50">
        <f>IF($A10="","",COUNTIFS(Tracker!$E$6:$E$65,$A10,Tracker!$Z$6:$Z$65,"Red"))</f>
        <v>1</v>
      </c>
      <c r="L10" s="51">
        <f t="shared" si="0"/>
        <v>0.625</v>
      </c>
      <c r="M10" s="29" t="str">
        <f t="shared" si="1"/>
        <v>Watch</v>
      </c>
      <c r="N10" s="15" t="str">
        <f>IF($A10="","",IF(C10="Not found","Check company ID",IF(COUNTIF(Setup!$A$13:$A$27,D10)=0,"Check department",IF(G10+H10=0,"No measure","OK"))))</f>
        <v>OK</v>
      </c>
      <c r="O10" s="63" t="str">
        <f>IF(OR($A10="",$D10&lt;&gt;'Department view'!$C$4),"",COUNTIF($D$6:$D10,'Department view'!$C$4))</f>
        <v/>
      </c>
    </row>
    <row r="11" spans="1:15" x14ac:dyDescent="0.45">
      <c r="A11" s="20" t="s">
        <v>171</v>
      </c>
      <c r="B11" s="20" t="s">
        <v>139</v>
      </c>
      <c r="C11" s="15" t="str">
        <f>IF(B11="","",IFERROR(INDEX(Strategy!$C$6:$C$15,MATCH(B11,Strategy!$A$6:$A$15,0)),"Not found"))</f>
        <v>Make more profit from every sale</v>
      </c>
      <c r="D11" s="20" t="s">
        <v>89</v>
      </c>
      <c r="E11" s="20" t="s">
        <v>172</v>
      </c>
      <c r="F11" s="20" t="s">
        <v>115</v>
      </c>
      <c r="G11" s="50">
        <f>IF($A11="","",COUNTIFS(Measures!$E$6:$E$65,$A11,Measures!$B$6:$B$65,"KPI"))</f>
        <v>2</v>
      </c>
      <c r="H11" s="50">
        <f>IF($A11="","",COUNTIFS(Measures!$E$6:$E$65,$A11,Measures!$B$6:$B$65,"KRI"))</f>
        <v>2</v>
      </c>
      <c r="I11" s="50">
        <f>IF($A11="","",COUNTIFS(Tracker!$E$6:$E$65,$A11,Tracker!$Z$6:$Z$65,"Green"))</f>
        <v>1</v>
      </c>
      <c r="J11" s="50">
        <f>IF($A11="","",COUNTIFS(Tracker!$E$6:$E$65,$A11,Tracker!$Z$6:$Z$65,"Amber"))</f>
        <v>2</v>
      </c>
      <c r="K11" s="50">
        <f>IF($A11="","",COUNTIFS(Tracker!$E$6:$E$65,$A11,Tracker!$Z$6:$Z$65,"Red"))</f>
        <v>1</v>
      </c>
      <c r="L11" s="51">
        <f t="shared" si="0"/>
        <v>0.5</v>
      </c>
      <c r="M11" s="29" t="str">
        <f t="shared" si="1"/>
        <v>Watch</v>
      </c>
      <c r="N11" s="15" t="str">
        <f>IF($A11="","",IF(C11="Not found","Check company ID",IF(COUNTIF(Setup!$A$13:$A$27,D11)=0,"Check department",IF(G11+H11=0,"No measure","OK"))))</f>
        <v>OK</v>
      </c>
      <c r="O11" s="63" t="str">
        <f>IF(OR($A11="",$D11&lt;&gt;'Department view'!$C$4),"",COUNTIF($D$6:$D11,'Department view'!$C$4))</f>
        <v/>
      </c>
    </row>
    <row r="12" spans="1:15" x14ac:dyDescent="0.45">
      <c r="A12" s="20" t="s">
        <v>173</v>
      </c>
      <c r="B12" s="20" t="s">
        <v>143</v>
      </c>
      <c r="C12" s="15" t="str">
        <f>IF(B12="","",IFERROR(INDEX(Strategy!$C$6:$C$15,MATCH(B12,Strategy!$A$6:$A$15,0)),"Not found"))</f>
        <v>Keep good people</v>
      </c>
      <c r="D12" s="20" t="s">
        <v>116</v>
      </c>
      <c r="E12" s="20" t="s">
        <v>174</v>
      </c>
      <c r="F12" s="20" t="s">
        <v>117</v>
      </c>
      <c r="G12" s="50">
        <f>IF($A12="","",COUNTIFS(Measures!$E$6:$E$65,$A12,Measures!$B$6:$B$65,"KPI"))</f>
        <v>2</v>
      </c>
      <c r="H12" s="50">
        <f>IF($A12="","",COUNTIFS(Measures!$E$6:$E$65,$A12,Measures!$B$6:$B$65,"KRI"))</f>
        <v>1</v>
      </c>
      <c r="I12" s="50">
        <f>IF($A12="","",COUNTIFS(Tracker!$E$6:$E$65,$A12,Tracker!$Z$6:$Z$65,"Green"))</f>
        <v>1</v>
      </c>
      <c r="J12" s="50">
        <f>IF($A12="","",COUNTIFS(Tracker!$E$6:$E$65,$A12,Tracker!$Z$6:$Z$65,"Amber"))</f>
        <v>1</v>
      </c>
      <c r="K12" s="50">
        <f>IF($A12="","",COUNTIFS(Tracker!$E$6:$E$65,$A12,Tracker!$Z$6:$Z$65,"Red"))</f>
        <v>1</v>
      </c>
      <c r="L12" s="51">
        <f t="shared" si="0"/>
        <v>0.5</v>
      </c>
      <c r="M12" s="29" t="str">
        <f t="shared" si="1"/>
        <v>Watch</v>
      </c>
      <c r="N12" s="15" t="str">
        <f>IF($A12="","",IF(C12="Not found","Check company ID",IF(COUNTIF(Setup!$A$13:$A$27,D12)=0,"Check department",IF(G12+H12=0,"No measure","OK"))))</f>
        <v>OK</v>
      </c>
      <c r="O12" s="63" t="str">
        <f>IF(OR($A12="",$D12&lt;&gt;'Department view'!$C$4),"",COUNTIF($D$6:$D12,'Department view'!$C$4))</f>
        <v/>
      </c>
    </row>
    <row r="13" spans="1:15" ht="25.5" x14ac:dyDescent="0.45">
      <c r="A13" s="20" t="s">
        <v>175</v>
      </c>
      <c r="B13" s="20" t="s">
        <v>147</v>
      </c>
      <c r="C13" s="15" t="str">
        <f>IF(B13="","",IFERROR(INDEX(Strategy!$C$6:$C$15,MATCH(B13,Strategy!$A$6:$A$15,0)),"Not found"))</f>
        <v>Grow without a major compliance or cyber incident</v>
      </c>
      <c r="D13" s="20" t="s">
        <v>118</v>
      </c>
      <c r="E13" s="20" t="s">
        <v>176</v>
      </c>
      <c r="F13" s="20" t="s">
        <v>119</v>
      </c>
      <c r="G13" s="50">
        <f>IF($A13="","",COUNTIFS(Measures!$E$6:$E$65,$A13,Measures!$B$6:$B$65,"KPI"))</f>
        <v>0</v>
      </c>
      <c r="H13" s="50">
        <f>IF($A13="","",COUNTIFS(Measures!$E$6:$E$65,$A13,Measures!$B$6:$B$65,"KRI"))</f>
        <v>3</v>
      </c>
      <c r="I13" s="50">
        <f>IF($A13="","",COUNTIFS(Tracker!$E$6:$E$65,$A13,Tracker!$Z$6:$Z$65,"Green"))</f>
        <v>2</v>
      </c>
      <c r="J13" s="50">
        <f>IF($A13="","",COUNTIFS(Tracker!$E$6:$E$65,$A13,Tracker!$Z$6:$Z$65,"Amber"))</f>
        <v>1</v>
      </c>
      <c r="K13" s="50">
        <f>IF($A13="","",COUNTIFS(Tracker!$E$6:$E$65,$A13,Tracker!$Z$6:$Z$65,"Red"))</f>
        <v>0</v>
      </c>
      <c r="L13" s="51">
        <f t="shared" si="0"/>
        <v>0.83333333333333337</v>
      </c>
      <c r="M13" s="29" t="str">
        <f t="shared" si="1"/>
        <v>On track</v>
      </c>
      <c r="N13" s="15" t="str">
        <f>IF($A13="","",IF(C13="Not found","Check company ID",IF(COUNTIF(Setup!$A$13:$A$27,D13)=0,"Check department",IF(G13+H13=0,"No measure","OK"))))</f>
        <v>OK</v>
      </c>
      <c r="O13" s="63" t="str">
        <f>IF(OR($A13="",$D13&lt;&gt;'Department view'!$C$4),"",COUNTIF($D$6:$D13,'Department view'!$C$4))</f>
        <v/>
      </c>
    </row>
    <row r="14" spans="1:15" ht="25.5" x14ac:dyDescent="0.45">
      <c r="A14" s="20" t="s">
        <v>177</v>
      </c>
      <c r="B14" s="20" t="s">
        <v>147</v>
      </c>
      <c r="C14" s="15" t="str">
        <f>IF(B14="","",IFERROR(INDEX(Strategy!$C$6:$C$15,MATCH(B14,Strategy!$A$6:$A$15,0)),"Not found"))</f>
        <v>Grow without a major compliance or cyber incident</v>
      </c>
      <c r="D14" s="20" t="s">
        <v>120</v>
      </c>
      <c r="E14" s="20" t="s">
        <v>178</v>
      </c>
      <c r="F14" s="20" t="s">
        <v>121</v>
      </c>
      <c r="G14" s="50">
        <f>IF($A14="","",COUNTIFS(Measures!$E$6:$E$65,$A14,Measures!$B$6:$B$65,"KPI"))</f>
        <v>0</v>
      </c>
      <c r="H14" s="50">
        <f>IF($A14="","",COUNTIFS(Measures!$E$6:$E$65,$A14,Measures!$B$6:$B$65,"KRI"))</f>
        <v>2</v>
      </c>
      <c r="I14" s="50">
        <f>IF($A14="","",COUNTIFS(Tracker!$E$6:$E$65,$A14,Tracker!$Z$6:$Z$65,"Green"))</f>
        <v>0</v>
      </c>
      <c r="J14" s="50">
        <f>IF($A14="","",COUNTIFS(Tracker!$E$6:$E$65,$A14,Tracker!$Z$6:$Z$65,"Amber"))</f>
        <v>0</v>
      </c>
      <c r="K14" s="50">
        <f>IF($A14="","",COUNTIFS(Tracker!$E$6:$E$65,$A14,Tracker!$Z$6:$Z$65,"Red"))</f>
        <v>2</v>
      </c>
      <c r="L14" s="51">
        <f t="shared" si="0"/>
        <v>0</v>
      </c>
      <c r="M14" s="29" t="str">
        <f t="shared" si="1"/>
        <v>Off track</v>
      </c>
      <c r="N14" s="15" t="str">
        <f>IF($A14="","",IF(C14="Not found","Check company ID",IF(COUNTIF(Setup!$A$13:$A$27,D14)=0,"Check department",IF(G14+H14=0,"No measure","OK"))))</f>
        <v>OK</v>
      </c>
      <c r="O14" s="63" t="str">
        <f>IF(OR($A14="",$D14&lt;&gt;'Department view'!$C$4),"",COUNTIF($D$6:$D14,'Department view'!$C$4))</f>
        <v/>
      </c>
    </row>
    <row r="15" spans="1:15" x14ac:dyDescent="0.45">
      <c r="A15" s="20"/>
      <c r="B15" s="20"/>
      <c r="C15" s="15" t="str">
        <f>IF(B15="","",IFERROR(INDEX(Strategy!$C$6:$C$15,MATCH(B15,Strategy!$A$6:$A$15,0)),"Not found"))</f>
        <v/>
      </c>
      <c r="D15" s="20"/>
      <c r="E15" s="20"/>
      <c r="F15" s="20"/>
      <c r="G15" s="50" t="str">
        <f>IF($A15="","",COUNTIFS(Measures!$E$6:$E$65,$A15,Measures!$B$6:$B$65,"KPI"))</f>
        <v/>
      </c>
      <c r="H15" s="50" t="str">
        <f>IF($A15="","",COUNTIFS(Measures!$E$6:$E$65,$A15,Measures!$B$6:$B$65,"KRI"))</f>
        <v/>
      </c>
      <c r="I15" s="50" t="str">
        <f>IF($A15="","",COUNTIFS(Tracker!$E$6:$E$65,$A15,Tracker!$Z$6:$Z$65,"Green"))</f>
        <v/>
      </c>
      <c r="J15" s="50" t="str">
        <f>IF($A15="","",COUNTIFS(Tracker!$E$6:$E$65,$A15,Tracker!$Z$6:$Z$65,"Amber"))</f>
        <v/>
      </c>
      <c r="K15" s="50" t="str">
        <f>IF($A15="","",COUNTIFS(Tracker!$E$6:$E$65,$A15,Tracker!$Z$6:$Z$65,"Red"))</f>
        <v/>
      </c>
      <c r="L15" s="51" t="str">
        <f t="shared" si="0"/>
        <v/>
      </c>
      <c r="M15" s="29" t="str">
        <f t="shared" si="1"/>
        <v/>
      </c>
      <c r="N15" s="15" t="str">
        <f>IF($A15="","",IF(C15="Not found","Check company ID",IF(COUNTIF(Setup!$A$13:$A$27,D15)=0,"Check department",IF(G15+H15=0,"No measure","OK"))))</f>
        <v/>
      </c>
      <c r="O15" s="63" t="str">
        <f>IF(OR($A15="",$D15&lt;&gt;'Department view'!$C$4),"",COUNTIF($D$6:$D15,'Department view'!$C$4))</f>
        <v/>
      </c>
    </row>
    <row r="16" spans="1:15" x14ac:dyDescent="0.45">
      <c r="A16" s="20"/>
      <c r="B16" s="20"/>
      <c r="C16" s="15" t="str">
        <f>IF(B16="","",IFERROR(INDEX(Strategy!$C$6:$C$15,MATCH(B16,Strategy!$A$6:$A$15,0)),"Not found"))</f>
        <v/>
      </c>
      <c r="D16" s="20"/>
      <c r="E16" s="20"/>
      <c r="F16" s="20"/>
      <c r="G16" s="50" t="str">
        <f>IF($A16="","",COUNTIFS(Measures!$E$6:$E$65,$A16,Measures!$B$6:$B$65,"KPI"))</f>
        <v/>
      </c>
      <c r="H16" s="50" t="str">
        <f>IF($A16="","",COUNTIFS(Measures!$E$6:$E$65,$A16,Measures!$B$6:$B$65,"KRI"))</f>
        <v/>
      </c>
      <c r="I16" s="50" t="str">
        <f>IF($A16="","",COUNTIFS(Tracker!$E$6:$E$65,$A16,Tracker!$Z$6:$Z$65,"Green"))</f>
        <v/>
      </c>
      <c r="J16" s="50" t="str">
        <f>IF($A16="","",COUNTIFS(Tracker!$E$6:$E$65,$A16,Tracker!$Z$6:$Z$65,"Amber"))</f>
        <v/>
      </c>
      <c r="K16" s="50" t="str">
        <f>IF($A16="","",COUNTIFS(Tracker!$E$6:$E$65,$A16,Tracker!$Z$6:$Z$65,"Red"))</f>
        <v/>
      </c>
      <c r="L16" s="51" t="str">
        <f t="shared" si="0"/>
        <v/>
      </c>
      <c r="M16" s="29" t="str">
        <f t="shared" si="1"/>
        <v/>
      </c>
      <c r="N16" s="15" t="str">
        <f>IF($A16="","",IF(C16="Not found","Check company ID",IF(COUNTIF(Setup!$A$13:$A$27,D16)=0,"Check department",IF(G16+H16=0,"No measure","OK"))))</f>
        <v/>
      </c>
      <c r="O16" s="63" t="str">
        <f>IF(OR($A16="",$D16&lt;&gt;'Department view'!$C$4),"",COUNTIF($D$6:$D16,'Department view'!$C$4))</f>
        <v/>
      </c>
    </row>
    <row r="17" spans="1:15" x14ac:dyDescent="0.45">
      <c r="A17" s="20"/>
      <c r="B17" s="20"/>
      <c r="C17" s="15" t="str">
        <f>IF(B17="","",IFERROR(INDEX(Strategy!$C$6:$C$15,MATCH(B17,Strategy!$A$6:$A$15,0)),"Not found"))</f>
        <v/>
      </c>
      <c r="D17" s="20"/>
      <c r="E17" s="20"/>
      <c r="F17" s="20"/>
      <c r="G17" s="50" t="str">
        <f>IF($A17="","",COUNTIFS(Measures!$E$6:$E$65,$A17,Measures!$B$6:$B$65,"KPI"))</f>
        <v/>
      </c>
      <c r="H17" s="50" t="str">
        <f>IF($A17="","",COUNTIFS(Measures!$E$6:$E$65,$A17,Measures!$B$6:$B$65,"KRI"))</f>
        <v/>
      </c>
      <c r="I17" s="50" t="str">
        <f>IF($A17="","",COUNTIFS(Tracker!$E$6:$E$65,$A17,Tracker!$Z$6:$Z$65,"Green"))</f>
        <v/>
      </c>
      <c r="J17" s="50" t="str">
        <f>IF($A17="","",COUNTIFS(Tracker!$E$6:$E$65,$A17,Tracker!$Z$6:$Z$65,"Amber"))</f>
        <v/>
      </c>
      <c r="K17" s="50" t="str">
        <f>IF($A17="","",COUNTIFS(Tracker!$E$6:$E$65,$A17,Tracker!$Z$6:$Z$65,"Red"))</f>
        <v/>
      </c>
      <c r="L17" s="51" t="str">
        <f t="shared" si="0"/>
        <v/>
      </c>
      <c r="M17" s="29" t="str">
        <f t="shared" si="1"/>
        <v/>
      </c>
      <c r="N17" s="15" t="str">
        <f>IF($A17="","",IF(C17="Not found","Check company ID",IF(COUNTIF(Setup!$A$13:$A$27,D17)=0,"Check department",IF(G17+H17=0,"No measure","OK"))))</f>
        <v/>
      </c>
      <c r="O17" s="63" t="str">
        <f>IF(OR($A17="",$D17&lt;&gt;'Department view'!$C$4),"",COUNTIF($D$6:$D17,'Department view'!$C$4))</f>
        <v/>
      </c>
    </row>
    <row r="18" spans="1:15" x14ac:dyDescent="0.45">
      <c r="A18" s="20"/>
      <c r="B18" s="20"/>
      <c r="C18" s="15" t="str">
        <f>IF(B18="","",IFERROR(INDEX(Strategy!$C$6:$C$15,MATCH(B18,Strategy!$A$6:$A$15,0)),"Not found"))</f>
        <v/>
      </c>
      <c r="D18" s="20"/>
      <c r="E18" s="20"/>
      <c r="F18" s="20"/>
      <c r="G18" s="50" t="str">
        <f>IF($A18="","",COUNTIFS(Measures!$E$6:$E$65,$A18,Measures!$B$6:$B$65,"KPI"))</f>
        <v/>
      </c>
      <c r="H18" s="50" t="str">
        <f>IF($A18="","",COUNTIFS(Measures!$E$6:$E$65,$A18,Measures!$B$6:$B$65,"KRI"))</f>
        <v/>
      </c>
      <c r="I18" s="50" t="str">
        <f>IF($A18="","",COUNTIFS(Tracker!$E$6:$E$65,$A18,Tracker!$Z$6:$Z$65,"Green"))</f>
        <v/>
      </c>
      <c r="J18" s="50" t="str">
        <f>IF($A18="","",COUNTIFS(Tracker!$E$6:$E$65,$A18,Tracker!$Z$6:$Z$65,"Amber"))</f>
        <v/>
      </c>
      <c r="K18" s="50" t="str">
        <f>IF($A18="","",COUNTIFS(Tracker!$E$6:$E$65,$A18,Tracker!$Z$6:$Z$65,"Red"))</f>
        <v/>
      </c>
      <c r="L18" s="51" t="str">
        <f t="shared" si="0"/>
        <v/>
      </c>
      <c r="M18" s="29" t="str">
        <f t="shared" si="1"/>
        <v/>
      </c>
      <c r="N18" s="15" t="str">
        <f>IF($A18="","",IF(C18="Not found","Check company ID",IF(COUNTIF(Setup!$A$13:$A$27,D18)=0,"Check department",IF(G18+H18=0,"No measure","OK"))))</f>
        <v/>
      </c>
      <c r="O18" s="63" t="str">
        <f>IF(OR($A18="",$D18&lt;&gt;'Department view'!$C$4),"",COUNTIF($D$6:$D18,'Department view'!$C$4))</f>
        <v/>
      </c>
    </row>
    <row r="19" spans="1:15" x14ac:dyDescent="0.45">
      <c r="A19" s="20"/>
      <c r="B19" s="20"/>
      <c r="C19" s="15" t="str">
        <f>IF(B19="","",IFERROR(INDEX(Strategy!$C$6:$C$15,MATCH(B19,Strategy!$A$6:$A$15,0)),"Not found"))</f>
        <v/>
      </c>
      <c r="D19" s="20"/>
      <c r="E19" s="20"/>
      <c r="F19" s="20"/>
      <c r="G19" s="50" t="str">
        <f>IF($A19="","",COUNTIFS(Measures!$E$6:$E$65,$A19,Measures!$B$6:$B$65,"KPI"))</f>
        <v/>
      </c>
      <c r="H19" s="50" t="str">
        <f>IF($A19="","",COUNTIFS(Measures!$E$6:$E$65,$A19,Measures!$B$6:$B$65,"KRI"))</f>
        <v/>
      </c>
      <c r="I19" s="50" t="str">
        <f>IF($A19="","",COUNTIFS(Tracker!$E$6:$E$65,$A19,Tracker!$Z$6:$Z$65,"Green"))</f>
        <v/>
      </c>
      <c r="J19" s="50" t="str">
        <f>IF($A19="","",COUNTIFS(Tracker!$E$6:$E$65,$A19,Tracker!$Z$6:$Z$65,"Amber"))</f>
        <v/>
      </c>
      <c r="K19" s="50" t="str">
        <f>IF($A19="","",COUNTIFS(Tracker!$E$6:$E$65,$A19,Tracker!$Z$6:$Z$65,"Red"))</f>
        <v/>
      </c>
      <c r="L19" s="51" t="str">
        <f t="shared" si="0"/>
        <v/>
      </c>
      <c r="M19" s="29" t="str">
        <f t="shared" si="1"/>
        <v/>
      </c>
      <c r="N19" s="15" t="str">
        <f>IF($A19="","",IF(C19="Not found","Check company ID",IF(COUNTIF(Setup!$A$13:$A$27,D19)=0,"Check department",IF(G19+H19=0,"No measure","OK"))))</f>
        <v/>
      </c>
      <c r="O19" s="63" t="str">
        <f>IF(OR($A19="",$D19&lt;&gt;'Department view'!$C$4),"",COUNTIF($D$6:$D19,'Department view'!$C$4))</f>
        <v/>
      </c>
    </row>
    <row r="20" spans="1:15" x14ac:dyDescent="0.45">
      <c r="A20" s="20"/>
      <c r="B20" s="20"/>
      <c r="C20" s="15" t="str">
        <f>IF(B20="","",IFERROR(INDEX(Strategy!$C$6:$C$15,MATCH(B20,Strategy!$A$6:$A$15,0)),"Not found"))</f>
        <v/>
      </c>
      <c r="D20" s="20"/>
      <c r="E20" s="20"/>
      <c r="F20" s="20"/>
      <c r="G20" s="50" t="str">
        <f>IF($A20="","",COUNTIFS(Measures!$E$6:$E$65,$A20,Measures!$B$6:$B$65,"KPI"))</f>
        <v/>
      </c>
      <c r="H20" s="50" t="str">
        <f>IF($A20="","",COUNTIFS(Measures!$E$6:$E$65,$A20,Measures!$B$6:$B$65,"KRI"))</f>
        <v/>
      </c>
      <c r="I20" s="50" t="str">
        <f>IF($A20="","",COUNTIFS(Tracker!$E$6:$E$65,$A20,Tracker!$Z$6:$Z$65,"Green"))</f>
        <v/>
      </c>
      <c r="J20" s="50" t="str">
        <f>IF($A20="","",COUNTIFS(Tracker!$E$6:$E$65,$A20,Tracker!$Z$6:$Z$65,"Amber"))</f>
        <v/>
      </c>
      <c r="K20" s="50" t="str">
        <f>IF($A20="","",COUNTIFS(Tracker!$E$6:$E$65,$A20,Tracker!$Z$6:$Z$65,"Red"))</f>
        <v/>
      </c>
      <c r="L20" s="51" t="str">
        <f t="shared" si="0"/>
        <v/>
      </c>
      <c r="M20" s="29" t="str">
        <f t="shared" si="1"/>
        <v/>
      </c>
      <c r="N20" s="15" t="str">
        <f>IF($A20="","",IF(C20="Not found","Check company ID",IF(COUNTIF(Setup!$A$13:$A$27,D20)=0,"Check department",IF(G20+H20=0,"No measure","OK"))))</f>
        <v/>
      </c>
      <c r="O20" s="63" t="str">
        <f>IF(OR($A20="",$D20&lt;&gt;'Department view'!$C$4),"",COUNTIF($D$6:$D20,'Department view'!$C$4))</f>
        <v/>
      </c>
    </row>
    <row r="21" spans="1:15" x14ac:dyDescent="0.45">
      <c r="A21" s="20"/>
      <c r="B21" s="20"/>
      <c r="C21" s="15" t="str">
        <f>IF(B21="","",IFERROR(INDEX(Strategy!$C$6:$C$15,MATCH(B21,Strategy!$A$6:$A$15,0)),"Not found"))</f>
        <v/>
      </c>
      <c r="D21" s="20"/>
      <c r="E21" s="20"/>
      <c r="F21" s="20"/>
      <c r="G21" s="50" t="str">
        <f>IF($A21="","",COUNTIFS(Measures!$E$6:$E$65,$A21,Measures!$B$6:$B$65,"KPI"))</f>
        <v/>
      </c>
      <c r="H21" s="50" t="str">
        <f>IF($A21="","",COUNTIFS(Measures!$E$6:$E$65,$A21,Measures!$B$6:$B$65,"KRI"))</f>
        <v/>
      </c>
      <c r="I21" s="50" t="str">
        <f>IF($A21="","",COUNTIFS(Tracker!$E$6:$E$65,$A21,Tracker!$Z$6:$Z$65,"Green"))</f>
        <v/>
      </c>
      <c r="J21" s="50" t="str">
        <f>IF($A21="","",COUNTIFS(Tracker!$E$6:$E$65,$A21,Tracker!$Z$6:$Z$65,"Amber"))</f>
        <v/>
      </c>
      <c r="K21" s="50" t="str">
        <f>IF($A21="","",COUNTIFS(Tracker!$E$6:$E$65,$A21,Tracker!$Z$6:$Z$65,"Red"))</f>
        <v/>
      </c>
      <c r="L21" s="51" t="str">
        <f t="shared" si="0"/>
        <v/>
      </c>
      <c r="M21" s="29" t="str">
        <f t="shared" si="1"/>
        <v/>
      </c>
      <c r="N21" s="15" t="str">
        <f>IF($A21="","",IF(C21="Not found","Check company ID",IF(COUNTIF(Setup!$A$13:$A$27,D21)=0,"Check department",IF(G21+H21=0,"No measure","OK"))))</f>
        <v/>
      </c>
      <c r="O21" s="63" t="str">
        <f>IF(OR($A21="",$D21&lt;&gt;'Department view'!$C$4),"",COUNTIF($D$6:$D21,'Department view'!$C$4))</f>
        <v/>
      </c>
    </row>
    <row r="22" spans="1:15" x14ac:dyDescent="0.45">
      <c r="A22" s="20"/>
      <c r="B22" s="20"/>
      <c r="C22" s="15" t="str">
        <f>IF(B22="","",IFERROR(INDEX(Strategy!$C$6:$C$15,MATCH(B22,Strategy!$A$6:$A$15,0)),"Not found"))</f>
        <v/>
      </c>
      <c r="D22" s="20"/>
      <c r="E22" s="20"/>
      <c r="F22" s="20"/>
      <c r="G22" s="50" t="str">
        <f>IF($A22="","",COUNTIFS(Measures!$E$6:$E$65,$A22,Measures!$B$6:$B$65,"KPI"))</f>
        <v/>
      </c>
      <c r="H22" s="50" t="str">
        <f>IF($A22="","",COUNTIFS(Measures!$E$6:$E$65,$A22,Measures!$B$6:$B$65,"KRI"))</f>
        <v/>
      </c>
      <c r="I22" s="50" t="str">
        <f>IF($A22="","",COUNTIFS(Tracker!$E$6:$E$65,$A22,Tracker!$Z$6:$Z$65,"Green"))</f>
        <v/>
      </c>
      <c r="J22" s="50" t="str">
        <f>IF($A22="","",COUNTIFS(Tracker!$E$6:$E$65,$A22,Tracker!$Z$6:$Z$65,"Amber"))</f>
        <v/>
      </c>
      <c r="K22" s="50" t="str">
        <f>IF($A22="","",COUNTIFS(Tracker!$E$6:$E$65,$A22,Tracker!$Z$6:$Z$65,"Red"))</f>
        <v/>
      </c>
      <c r="L22" s="51" t="str">
        <f t="shared" si="0"/>
        <v/>
      </c>
      <c r="M22" s="29" t="str">
        <f t="shared" si="1"/>
        <v/>
      </c>
      <c r="N22" s="15" t="str">
        <f>IF($A22="","",IF(C22="Not found","Check company ID",IF(COUNTIF(Setup!$A$13:$A$27,D22)=0,"Check department",IF(G22+H22=0,"No measure","OK"))))</f>
        <v/>
      </c>
      <c r="O22" s="63" t="str">
        <f>IF(OR($A22="",$D22&lt;&gt;'Department view'!$C$4),"",COUNTIF($D$6:$D22,'Department view'!$C$4))</f>
        <v/>
      </c>
    </row>
    <row r="23" spans="1:15" x14ac:dyDescent="0.45">
      <c r="A23" s="20"/>
      <c r="B23" s="20"/>
      <c r="C23" s="15" t="str">
        <f>IF(B23="","",IFERROR(INDEX(Strategy!$C$6:$C$15,MATCH(B23,Strategy!$A$6:$A$15,0)),"Not found"))</f>
        <v/>
      </c>
      <c r="D23" s="20"/>
      <c r="E23" s="20"/>
      <c r="F23" s="20"/>
      <c r="G23" s="50" t="str">
        <f>IF($A23="","",COUNTIFS(Measures!$E$6:$E$65,$A23,Measures!$B$6:$B$65,"KPI"))</f>
        <v/>
      </c>
      <c r="H23" s="50" t="str">
        <f>IF($A23="","",COUNTIFS(Measures!$E$6:$E$65,$A23,Measures!$B$6:$B$65,"KRI"))</f>
        <v/>
      </c>
      <c r="I23" s="50" t="str">
        <f>IF($A23="","",COUNTIFS(Tracker!$E$6:$E$65,$A23,Tracker!$Z$6:$Z$65,"Green"))</f>
        <v/>
      </c>
      <c r="J23" s="50" t="str">
        <f>IF($A23="","",COUNTIFS(Tracker!$E$6:$E$65,$A23,Tracker!$Z$6:$Z$65,"Amber"))</f>
        <v/>
      </c>
      <c r="K23" s="50" t="str">
        <f>IF($A23="","",COUNTIFS(Tracker!$E$6:$E$65,$A23,Tracker!$Z$6:$Z$65,"Red"))</f>
        <v/>
      </c>
      <c r="L23" s="51" t="str">
        <f t="shared" si="0"/>
        <v/>
      </c>
      <c r="M23" s="29" t="str">
        <f t="shared" si="1"/>
        <v/>
      </c>
      <c r="N23" s="15" t="str">
        <f>IF($A23="","",IF(C23="Not found","Check company ID",IF(COUNTIF(Setup!$A$13:$A$27,D23)=0,"Check department",IF(G23+H23=0,"No measure","OK"))))</f>
        <v/>
      </c>
      <c r="O23" s="63" t="str">
        <f>IF(OR($A23="",$D23&lt;&gt;'Department view'!$C$4),"",COUNTIF($D$6:$D23,'Department view'!$C$4))</f>
        <v/>
      </c>
    </row>
    <row r="24" spans="1:15" x14ac:dyDescent="0.45">
      <c r="A24" s="20"/>
      <c r="B24" s="20"/>
      <c r="C24" s="15" t="str">
        <f>IF(B24="","",IFERROR(INDEX(Strategy!$C$6:$C$15,MATCH(B24,Strategy!$A$6:$A$15,0)),"Not found"))</f>
        <v/>
      </c>
      <c r="D24" s="20"/>
      <c r="E24" s="20"/>
      <c r="F24" s="20"/>
      <c r="G24" s="50" t="str">
        <f>IF($A24="","",COUNTIFS(Measures!$E$6:$E$65,$A24,Measures!$B$6:$B$65,"KPI"))</f>
        <v/>
      </c>
      <c r="H24" s="50" t="str">
        <f>IF($A24="","",COUNTIFS(Measures!$E$6:$E$65,$A24,Measures!$B$6:$B$65,"KRI"))</f>
        <v/>
      </c>
      <c r="I24" s="50" t="str">
        <f>IF($A24="","",COUNTIFS(Tracker!$E$6:$E$65,$A24,Tracker!$Z$6:$Z$65,"Green"))</f>
        <v/>
      </c>
      <c r="J24" s="50" t="str">
        <f>IF($A24="","",COUNTIFS(Tracker!$E$6:$E$65,$A24,Tracker!$Z$6:$Z$65,"Amber"))</f>
        <v/>
      </c>
      <c r="K24" s="50" t="str">
        <f>IF($A24="","",COUNTIFS(Tracker!$E$6:$E$65,$A24,Tracker!$Z$6:$Z$65,"Red"))</f>
        <v/>
      </c>
      <c r="L24" s="51" t="str">
        <f t="shared" si="0"/>
        <v/>
      </c>
      <c r="M24" s="29" t="str">
        <f t="shared" si="1"/>
        <v/>
      </c>
      <c r="N24" s="15" t="str">
        <f>IF($A24="","",IF(C24="Not found","Check company ID",IF(COUNTIF(Setup!$A$13:$A$27,D24)=0,"Check department",IF(G24+H24=0,"No measure","OK"))))</f>
        <v/>
      </c>
      <c r="O24" s="63" t="str">
        <f>IF(OR($A24="",$D24&lt;&gt;'Department view'!$C$4),"",COUNTIF($D$6:$D24,'Department view'!$C$4))</f>
        <v/>
      </c>
    </row>
    <row r="25" spans="1:15" x14ac:dyDescent="0.45">
      <c r="A25" s="20"/>
      <c r="B25" s="20"/>
      <c r="C25" s="15" t="str">
        <f>IF(B25="","",IFERROR(INDEX(Strategy!$C$6:$C$15,MATCH(B25,Strategy!$A$6:$A$15,0)),"Not found"))</f>
        <v/>
      </c>
      <c r="D25" s="20"/>
      <c r="E25" s="20"/>
      <c r="F25" s="20"/>
      <c r="G25" s="50" t="str">
        <f>IF($A25="","",COUNTIFS(Measures!$E$6:$E$65,$A25,Measures!$B$6:$B$65,"KPI"))</f>
        <v/>
      </c>
      <c r="H25" s="50" t="str">
        <f>IF($A25="","",COUNTIFS(Measures!$E$6:$E$65,$A25,Measures!$B$6:$B$65,"KRI"))</f>
        <v/>
      </c>
      <c r="I25" s="50" t="str">
        <f>IF($A25="","",COUNTIFS(Tracker!$E$6:$E$65,$A25,Tracker!$Z$6:$Z$65,"Green"))</f>
        <v/>
      </c>
      <c r="J25" s="50" t="str">
        <f>IF($A25="","",COUNTIFS(Tracker!$E$6:$E$65,$A25,Tracker!$Z$6:$Z$65,"Amber"))</f>
        <v/>
      </c>
      <c r="K25" s="50" t="str">
        <f>IF($A25="","",COUNTIFS(Tracker!$E$6:$E$65,$A25,Tracker!$Z$6:$Z$65,"Red"))</f>
        <v/>
      </c>
      <c r="L25" s="51" t="str">
        <f t="shared" si="0"/>
        <v/>
      </c>
      <c r="M25" s="29" t="str">
        <f t="shared" si="1"/>
        <v/>
      </c>
      <c r="N25" s="15" t="str">
        <f>IF($A25="","",IF(C25="Not found","Check company ID",IF(COUNTIF(Setup!$A$13:$A$27,D25)=0,"Check department",IF(G25+H25=0,"No measure","OK"))))</f>
        <v/>
      </c>
      <c r="O25" s="63" t="str">
        <f>IF(OR($A25="",$D25&lt;&gt;'Department view'!$C$4),"",COUNTIF($D$6:$D25,'Department view'!$C$4))</f>
        <v/>
      </c>
    </row>
    <row r="26" spans="1:15" x14ac:dyDescent="0.45">
      <c r="A26" s="20"/>
      <c r="B26" s="20"/>
      <c r="C26" s="15" t="str">
        <f>IF(B26="","",IFERROR(INDEX(Strategy!$C$6:$C$15,MATCH(B26,Strategy!$A$6:$A$15,0)),"Not found"))</f>
        <v/>
      </c>
      <c r="D26" s="20"/>
      <c r="E26" s="20"/>
      <c r="F26" s="20"/>
      <c r="G26" s="50" t="str">
        <f>IF($A26="","",COUNTIFS(Measures!$E$6:$E$65,$A26,Measures!$B$6:$B$65,"KPI"))</f>
        <v/>
      </c>
      <c r="H26" s="50" t="str">
        <f>IF($A26="","",COUNTIFS(Measures!$E$6:$E$65,$A26,Measures!$B$6:$B$65,"KRI"))</f>
        <v/>
      </c>
      <c r="I26" s="50" t="str">
        <f>IF($A26="","",COUNTIFS(Tracker!$E$6:$E$65,$A26,Tracker!$Z$6:$Z$65,"Green"))</f>
        <v/>
      </c>
      <c r="J26" s="50" t="str">
        <f>IF($A26="","",COUNTIFS(Tracker!$E$6:$E$65,$A26,Tracker!$Z$6:$Z$65,"Amber"))</f>
        <v/>
      </c>
      <c r="K26" s="50" t="str">
        <f>IF($A26="","",COUNTIFS(Tracker!$E$6:$E$65,$A26,Tracker!$Z$6:$Z$65,"Red"))</f>
        <v/>
      </c>
      <c r="L26" s="51" t="str">
        <f t="shared" si="0"/>
        <v/>
      </c>
      <c r="M26" s="29" t="str">
        <f t="shared" si="1"/>
        <v/>
      </c>
      <c r="N26" s="15" t="str">
        <f>IF($A26="","",IF(C26="Not found","Check company ID",IF(COUNTIF(Setup!$A$13:$A$27,D26)=0,"Check department",IF(G26+H26=0,"No measure","OK"))))</f>
        <v/>
      </c>
      <c r="O26" s="63" t="str">
        <f>IF(OR($A26="",$D26&lt;&gt;'Department view'!$C$4),"",COUNTIF($D$6:$D26,'Department view'!$C$4))</f>
        <v/>
      </c>
    </row>
    <row r="27" spans="1:15" x14ac:dyDescent="0.45">
      <c r="A27" s="20"/>
      <c r="B27" s="20"/>
      <c r="C27" s="15" t="str">
        <f>IF(B27="","",IFERROR(INDEX(Strategy!$C$6:$C$15,MATCH(B27,Strategy!$A$6:$A$15,0)),"Not found"))</f>
        <v/>
      </c>
      <c r="D27" s="20"/>
      <c r="E27" s="20"/>
      <c r="F27" s="20"/>
      <c r="G27" s="50" t="str">
        <f>IF($A27="","",COUNTIFS(Measures!$E$6:$E$65,$A27,Measures!$B$6:$B$65,"KPI"))</f>
        <v/>
      </c>
      <c r="H27" s="50" t="str">
        <f>IF($A27="","",COUNTIFS(Measures!$E$6:$E$65,$A27,Measures!$B$6:$B$65,"KRI"))</f>
        <v/>
      </c>
      <c r="I27" s="50" t="str">
        <f>IF($A27="","",COUNTIFS(Tracker!$E$6:$E$65,$A27,Tracker!$Z$6:$Z$65,"Green"))</f>
        <v/>
      </c>
      <c r="J27" s="50" t="str">
        <f>IF($A27="","",COUNTIFS(Tracker!$E$6:$E$65,$A27,Tracker!$Z$6:$Z$65,"Amber"))</f>
        <v/>
      </c>
      <c r="K27" s="50" t="str">
        <f>IF($A27="","",COUNTIFS(Tracker!$E$6:$E$65,$A27,Tracker!$Z$6:$Z$65,"Red"))</f>
        <v/>
      </c>
      <c r="L27" s="51" t="str">
        <f t="shared" si="0"/>
        <v/>
      </c>
      <c r="M27" s="29" t="str">
        <f t="shared" si="1"/>
        <v/>
      </c>
      <c r="N27" s="15" t="str">
        <f>IF($A27="","",IF(C27="Not found","Check company ID",IF(COUNTIF(Setup!$A$13:$A$27,D27)=0,"Check department",IF(G27+H27=0,"No measure","OK"))))</f>
        <v/>
      </c>
      <c r="O27" s="63" t="str">
        <f>IF(OR($A27="",$D27&lt;&gt;'Department view'!$C$4),"",COUNTIF($D$6:$D27,'Department view'!$C$4))</f>
        <v/>
      </c>
    </row>
    <row r="28" spans="1:15" x14ac:dyDescent="0.45">
      <c r="A28" s="20"/>
      <c r="B28" s="20"/>
      <c r="C28" s="15" t="str">
        <f>IF(B28="","",IFERROR(INDEX(Strategy!$C$6:$C$15,MATCH(B28,Strategy!$A$6:$A$15,0)),"Not found"))</f>
        <v/>
      </c>
      <c r="D28" s="20"/>
      <c r="E28" s="20"/>
      <c r="F28" s="20"/>
      <c r="G28" s="50" t="str">
        <f>IF($A28="","",COUNTIFS(Measures!$E$6:$E$65,$A28,Measures!$B$6:$B$65,"KPI"))</f>
        <v/>
      </c>
      <c r="H28" s="50" t="str">
        <f>IF($A28="","",COUNTIFS(Measures!$E$6:$E$65,$A28,Measures!$B$6:$B$65,"KRI"))</f>
        <v/>
      </c>
      <c r="I28" s="50" t="str">
        <f>IF($A28="","",COUNTIFS(Tracker!$E$6:$E$65,$A28,Tracker!$Z$6:$Z$65,"Green"))</f>
        <v/>
      </c>
      <c r="J28" s="50" t="str">
        <f>IF($A28="","",COUNTIFS(Tracker!$E$6:$E$65,$A28,Tracker!$Z$6:$Z$65,"Amber"))</f>
        <v/>
      </c>
      <c r="K28" s="50" t="str">
        <f>IF($A28="","",COUNTIFS(Tracker!$E$6:$E$65,$A28,Tracker!$Z$6:$Z$65,"Red"))</f>
        <v/>
      </c>
      <c r="L28" s="51" t="str">
        <f t="shared" si="0"/>
        <v/>
      </c>
      <c r="M28" s="29" t="str">
        <f t="shared" si="1"/>
        <v/>
      </c>
      <c r="N28" s="15" t="str">
        <f>IF($A28="","",IF(C28="Not found","Check company ID",IF(COUNTIF(Setup!$A$13:$A$27,D28)=0,"Check department",IF(G28+H28=0,"No measure","OK"))))</f>
        <v/>
      </c>
      <c r="O28" s="63" t="str">
        <f>IF(OR($A28="",$D28&lt;&gt;'Department view'!$C$4),"",COUNTIF($D$6:$D28,'Department view'!$C$4))</f>
        <v/>
      </c>
    </row>
    <row r="29" spans="1:15" x14ac:dyDescent="0.45">
      <c r="A29" s="20"/>
      <c r="B29" s="20"/>
      <c r="C29" s="15" t="str">
        <f>IF(B29="","",IFERROR(INDEX(Strategy!$C$6:$C$15,MATCH(B29,Strategy!$A$6:$A$15,0)),"Not found"))</f>
        <v/>
      </c>
      <c r="D29" s="20"/>
      <c r="E29" s="20"/>
      <c r="F29" s="20"/>
      <c r="G29" s="50" t="str">
        <f>IF($A29="","",COUNTIFS(Measures!$E$6:$E$65,$A29,Measures!$B$6:$B$65,"KPI"))</f>
        <v/>
      </c>
      <c r="H29" s="50" t="str">
        <f>IF($A29="","",COUNTIFS(Measures!$E$6:$E$65,$A29,Measures!$B$6:$B$65,"KRI"))</f>
        <v/>
      </c>
      <c r="I29" s="50" t="str">
        <f>IF($A29="","",COUNTIFS(Tracker!$E$6:$E$65,$A29,Tracker!$Z$6:$Z$65,"Green"))</f>
        <v/>
      </c>
      <c r="J29" s="50" t="str">
        <f>IF($A29="","",COUNTIFS(Tracker!$E$6:$E$65,$A29,Tracker!$Z$6:$Z$65,"Amber"))</f>
        <v/>
      </c>
      <c r="K29" s="50" t="str">
        <f>IF($A29="","",COUNTIFS(Tracker!$E$6:$E$65,$A29,Tracker!$Z$6:$Z$65,"Red"))</f>
        <v/>
      </c>
      <c r="L29" s="51" t="str">
        <f t="shared" si="0"/>
        <v/>
      </c>
      <c r="M29" s="29" t="str">
        <f t="shared" si="1"/>
        <v/>
      </c>
      <c r="N29" s="15" t="str">
        <f>IF($A29="","",IF(C29="Not found","Check company ID",IF(COUNTIF(Setup!$A$13:$A$27,D29)=0,"Check department",IF(G29+H29=0,"No measure","OK"))))</f>
        <v/>
      </c>
      <c r="O29" s="63" t="str">
        <f>IF(OR($A29="",$D29&lt;&gt;'Department view'!$C$4),"",COUNTIF($D$6:$D29,'Department view'!$C$4))</f>
        <v/>
      </c>
    </row>
    <row r="30" spans="1:15" x14ac:dyDescent="0.45">
      <c r="A30" s="20"/>
      <c r="B30" s="20"/>
      <c r="C30" s="15" t="str">
        <f>IF(B30="","",IFERROR(INDEX(Strategy!$C$6:$C$15,MATCH(B30,Strategy!$A$6:$A$15,0)),"Not found"))</f>
        <v/>
      </c>
      <c r="D30" s="20"/>
      <c r="E30" s="20"/>
      <c r="F30" s="20"/>
      <c r="G30" s="50" t="str">
        <f>IF($A30="","",COUNTIFS(Measures!$E$6:$E$65,$A30,Measures!$B$6:$B$65,"KPI"))</f>
        <v/>
      </c>
      <c r="H30" s="50" t="str">
        <f>IF($A30="","",COUNTIFS(Measures!$E$6:$E$65,$A30,Measures!$B$6:$B$65,"KRI"))</f>
        <v/>
      </c>
      <c r="I30" s="50" t="str">
        <f>IF($A30="","",COUNTIFS(Tracker!$E$6:$E$65,$A30,Tracker!$Z$6:$Z$65,"Green"))</f>
        <v/>
      </c>
      <c r="J30" s="50" t="str">
        <f>IF($A30="","",COUNTIFS(Tracker!$E$6:$E$65,$A30,Tracker!$Z$6:$Z$65,"Amber"))</f>
        <v/>
      </c>
      <c r="K30" s="50" t="str">
        <f>IF($A30="","",COUNTIFS(Tracker!$E$6:$E$65,$A30,Tracker!$Z$6:$Z$65,"Red"))</f>
        <v/>
      </c>
      <c r="L30" s="51" t="str">
        <f t="shared" si="0"/>
        <v/>
      </c>
      <c r="M30" s="29" t="str">
        <f t="shared" si="1"/>
        <v/>
      </c>
      <c r="N30" s="15" t="str">
        <f>IF($A30="","",IF(C30="Not found","Check company ID",IF(COUNTIF(Setup!$A$13:$A$27,D30)=0,"Check department",IF(G30+H30=0,"No measure","OK"))))</f>
        <v/>
      </c>
      <c r="O30" s="63" t="str">
        <f>IF(OR($A30="",$D30&lt;&gt;'Department view'!$C$4),"",COUNTIF($D$6:$D30,'Department view'!$C$4))</f>
        <v/>
      </c>
    </row>
    <row r="31" spans="1:15" x14ac:dyDescent="0.45">
      <c r="A31" s="20"/>
      <c r="B31" s="20"/>
      <c r="C31" s="15" t="str">
        <f>IF(B31="","",IFERROR(INDEX(Strategy!$C$6:$C$15,MATCH(B31,Strategy!$A$6:$A$15,0)),"Not found"))</f>
        <v/>
      </c>
      <c r="D31" s="20"/>
      <c r="E31" s="20"/>
      <c r="F31" s="20"/>
      <c r="G31" s="50" t="str">
        <f>IF($A31="","",COUNTIFS(Measures!$E$6:$E$65,$A31,Measures!$B$6:$B$65,"KPI"))</f>
        <v/>
      </c>
      <c r="H31" s="50" t="str">
        <f>IF($A31="","",COUNTIFS(Measures!$E$6:$E$65,$A31,Measures!$B$6:$B$65,"KRI"))</f>
        <v/>
      </c>
      <c r="I31" s="50" t="str">
        <f>IF($A31="","",COUNTIFS(Tracker!$E$6:$E$65,$A31,Tracker!$Z$6:$Z$65,"Green"))</f>
        <v/>
      </c>
      <c r="J31" s="50" t="str">
        <f>IF($A31="","",COUNTIFS(Tracker!$E$6:$E$65,$A31,Tracker!$Z$6:$Z$65,"Amber"))</f>
        <v/>
      </c>
      <c r="K31" s="50" t="str">
        <f>IF($A31="","",COUNTIFS(Tracker!$E$6:$E$65,$A31,Tracker!$Z$6:$Z$65,"Red"))</f>
        <v/>
      </c>
      <c r="L31" s="51" t="str">
        <f t="shared" si="0"/>
        <v/>
      </c>
      <c r="M31" s="29" t="str">
        <f t="shared" si="1"/>
        <v/>
      </c>
      <c r="N31" s="15" t="str">
        <f>IF($A31="","",IF(C31="Not found","Check company ID",IF(COUNTIF(Setup!$A$13:$A$27,D31)=0,"Check department",IF(G31+H31=0,"No measure","OK"))))</f>
        <v/>
      </c>
      <c r="O31" s="63" t="str">
        <f>IF(OR($A31="",$D31&lt;&gt;'Department view'!$C$4),"",COUNTIF($D$6:$D31,'Department view'!$C$4))</f>
        <v/>
      </c>
    </row>
    <row r="32" spans="1:15" x14ac:dyDescent="0.45">
      <c r="A32" s="20"/>
      <c r="B32" s="20"/>
      <c r="C32" s="15" t="str">
        <f>IF(B32="","",IFERROR(INDEX(Strategy!$C$6:$C$15,MATCH(B32,Strategy!$A$6:$A$15,0)),"Not found"))</f>
        <v/>
      </c>
      <c r="D32" s="20"/>
      <c r="E32" s="20"/>
      <c r="F32" s="20"/>
      <c r="G32" s="50" t="str">
        <f>IF($A32="","",COUNTIFS(Measures!$E$6:$E$65,$A32,Measures!$B$6:$B$65,"KPI"))</f>
        <v/>
      </c>
      <c r="H32" s="50" t="str">
        <f>IF($A32="","",COUNTIFS(Measures!$E$6:$E$65,$A32,Measures!$B$6:$B$65,"KRI"))</f>
        <v/>
      </c>
      <c r="I32" s="50" t="str">
        <f>IF($A32="","",COUNTIFS(Tracker!$E$6:$E$65,$A32,Tracker!$Z$6:$Z$65,"Green"))</f>
        <v/>
      </c>
      <c r="J32" s="50" t="str">
        <f>IF($A32="","",COUNTIFS(Tracker!$E$6:$E$65,$A32,Tracker!$Z$6:$Z$65,"Amber"))</f>
        <v/>
      </c>
      <c r="K32" s="50" t="str">
        <f>IF($A32="","",COUNTIFS(Tracker!$E$6:$E$65,$A32,Tracker!$Z$6:$Z$65,"Red"))</f>
        <v/>
      </c>
      <c r="L32" s="51" t="str">
        <f t="shared" si="0"/>
        <v/>
      </c>
      <c r="M32" s="29" t="str">
        <f t="shared" si="1"/>
        <v/>
      </c>
      <c r="N32" s="15" t="str">
        <f>IF($A32="","",IF(C32="Not found","Check company ID",IF(COUNTIF(Setup!$A$13:$A$27,D32)=0,"Check department",IF(G32+H32=0,"No measure","OK"))))</f>
        <v/>
      </c>
      <c r="O32" s="63" t="str">
        <f>IF(OR($A32="",$D32&lt;&gt;'Department view'!$C$4),"",COUNTIF($D$6:$D32,'Department view'!$C$4))</f>
        <v/>
      </c>
    </row>
    <row r="33" spans="1:15" x14ac:dyDescent="0.45">
      <c r="A33" s="20"/>
      <c r="B33" s="20"/>
      <c r="C33" s="15" t="str">
        <f>IF(B33="","",IFERROR(INDEX(Strategy!$C$6:$C$15,MATCH(B33,Strategy!$A$6:$A$15,0)),"Not found"))</f>
        <v/>
      </c>
      <c r="D33" s="20"/>
      <c r="E33" s="20"/>
      <c r="F33" s="20"/>
      <c r="G33" s="50" t="str">
        <f>IF($A33="","",COUNTIFS(Measures!$E$6:$E$65,$A33,Measures!$B$6:$B$65,"KPI"))</f>
        <v/>
      </c>
      <c r="H33" s="50" t="str">
        <f>IF($A33="","",COUNTIFS(Measures!$E$6:$E$65,$A33,Measures!$B$6:$B$65,"KRI"))</f>
        <v/>
      </c>
      <c r="I33" s="50" t="str">
        <f>IF($A33="","",COUNTIFS(Tracker!$E$6:$E$65,$A33,Tracker!$Z$6:$Z$65,"Green"))</f>
        <v/>
      </c>
      <c r="J33" s="50" t="str">
        <f>IF($A33="","",COUNTIFS(Tracker!$E$6:$E$65,$A33,Tracker!$Z$6:$Z$65,"Amber"))</f>
        <v/>
      </c>
      <c r="K33" s="50" t="str">
        <f>IF($A33="","",COUNTIFS(Tracker!$E$6:$E$65,$A33,Tracker!$Z$6:$Z$65,"Red"))</f>
        <v/>
      </c>
      <c r="L33" s="51" t="str">
        <f t="shared" si="0"/>
        <v/>
      </c>
      <c r="M33" s="29" t="str">
        <f t="shared" si="1"/>
        <v/>
      </c>
      <c r="N33" s="15" t="str">
        <f>IF($A33="","",IF(C33="Not found","Check company ID",IF(COUNTIF(Setup!$A$13:$A$27,D33)=0,"Check department",IF(G33+H33=0,"No measure","OK"))))</f>
        <v/>
      </c>
      <c r="O33" s="63" t="str">
        <f>IF(OR($A33="",$D33&lt;&gt;'Department view'!$C$4),"",COUNTIF($D$6:$D33,'Department view'!$C$4))</f>
        <v/>
      </c>
    </row>
    <row r="34" spans="1:15" x14ac:dyDescent="0.45">
      <c r="A34" s="20"/>
      <c r="B34" s="20"/>
      <c r="C34" s="15" t="str">
        <f>IF(B34="","",IFERROR(INDEX(Strategy!$C$6:$C$15,MATCH(B34,Strategy!$A$6:$A$15,0)),"Not found"))</f>
        <v/>
      </c>
      <c r="D34" s="20"/>
      <c r="E34" s="20"/>
      <c r="F34" s="20"/>
      <c r="G34" s="50" t="str">
        <f>IF($A34="","",COUNTIFS(Measures!$E$6:$E$65,$A34,Measures!$B$6:$B$65,"KPI"))</f>
        <v/>
      </c>
      <c r="H34" s="50" t="str">
        <f>IF($A34="","",COUNTIFS(Measures!$E$6:$E$65,$A34,Measures!$B$6:$B$65,"KRI"))</f>
        <v/>
      </c>
      <c r="I34" s="50" t="str">
        <f>IF($A34="","",COUNTIFS(Tracker!$E$6:$E$65,$A34,Tracker!$Z$6:$Z$65,"Green"))</f>
        <v/>
      </c>
      <c r="J34" s="50" t="str">
        <f>IF($A34="","",COUNTIFS(Tracker!$E$6:$E$65,$A34,Tracker!$Z$6:$Z$65,"Amber"))</f>
        <v/>
      </c>
      <c r="K34" s="50" t="str">
        <f>IF($A34="","",COUNTIFS(Tracker!$E$6:$E$65,$A34,Tracker!$Z$6:$Z$65,"Red"))</f>
        <v/>
      </c>
      <c r="L34" s="51" t="str">
        <f t="shared" si="0"/>
        <v/>
      </c>
      <c r="M34" s="29" t="str">
        <f t="shared" si="1"/>
        <v/>
      </c>
      <c r="N34" s="15" t="str">
        <f>IF($A34="","",IF(C34="Not found","Check company ID",IF(COUNTIF(Setup!$A$13:$A$27,D34)=0,"Check department",IF(G34+H34=0,"No measure","OK"))))</f>
        <v/>
      </c>
      <c r="O34" s="63" t="str">
        <f>IF(OR($A34="",$D34&lt;&gt;'Department view'!$C$4),"",COUNTIF($D$6:$D34,'Department view'!$C$4))</f>
        <v/>
      </c>
    </row>
    <row r="35" spans="1:15" x14ac:dyDescent="0.45">
      <c r="A35" s="20"/>
      <c r="B35" s="20"/>
      <c r="C35" s="15" t="str">
        <f>IF(B35="","",IFERROR(INDEX(Strategy!$C$6:$C$15,MATCH(B35,Strategy!$A$6:$A$15,0)),"Not found"))</f>
        <v/>
      </c>
      <c r="D35" s="20"/>
      <c r="E35" s="20"/>
      <c r="F35" s="20"/>
      <c r="G35" s="50" t="str">
        <f>IF($A35="","",COUNTIFS(Measures!$E$6:$E$65,$A35,Measures!$B$6:$B$65,"KPI"))</f>
        <v/>
      </c>
      <c r="H35" s="50" t="str">
        <f>IF($A35="","",COUNTIFS(Measures!$E$6:$E$65,$A35,Measures!$B$6:$B$65,"KRI"))</f>
        <v/>
      </c>
      <c r="I35" s="50" t="str">
        <f>IF($A35="","",COUNTIFS(Tracker!$E$6:$E$65,$A35,Tracker!$Z$6:$Z$65,"Green"))</f>
        <v/>
      </c>
      <c r="J35" s="50" t="str">
        <f>IF($A35="","",COUNTIFS(Tracker!$E$6:$E$65,$A35,Tracker!$Z$6:$Z$65,"Amber"))</f>
        <v/>
      </c>
      <c r="K35" s="50" t="str">
        <f>IF($A35="","",COUNTIFS(Tracker!$E$6:$E$65,$A35,Tracker!$Z$6:$Z$65,"Red"))</f>
        <v/>
      </c>
      <c r="L35" s="51" t="str">
        <f t="shared" si="0"/>
        <v/>
      </c>
      <c r="M35" s="29" t="str">
        <f t="shared" si="1"/>
        <v/>
      </c>
      <c r="N35" s="15" t="str">
        <f>IF($A35="","",IF(C35="Not found","Check company ID",IF(COUNTIF(Setup!$A$13:$A$27,D35)=0,"Check department",IF(G35+H35=0,"No measure","OK"))))</f>
        <v/>
      </c>
      <c r="O35" s="63" t="str">
        <f>IF(OR($A35="",$D35&lt;&gt;'Department view'!$C$4),"",COUNTIF($D$6:$D35,'Department view'!$C$4))</f>
        <v/>
      </c>
    </row>
    <row r="36" spans="1:15" x14ac:dyDescent="0.45">
      <c r="A36" s="20"/>
      <c r="B36" s="20"/>
      <c r="C36" s="15" t="str">
        <f>IF(B36="","",IFERROR(INDEX(Strategy!$C$6:$C$15,MATCH(B36,Strategy!$A$6:$A$15,0)),"Not found"))</f>
        <v/>
      </c>
      <c r="D36" s="20"/>
      <c r="E36" s="20"/>
      <c r="F36" s="20"/>
      <c r="G36" s="50" t="str">
        <f>IF($A36="","",COUNTIFS(Measures!$E$6:$E$65,$A36,Measures!$B$6:$B$65,"KPI"))</f>
        <v/>
      </c>
      <c r="H36" s="50" t="str">
        <f>IF($A36="","",COUNTIFS(Measures!$E$6:$E$65,$A36,Measures!$B$6:$B$65,"KRI"))</f>
        <v/>
      </c>
      <c r="I36" s="50" t="str">
        <f>IF($A36="","",COUNTIFS(Tracker!$E$6:$E$65,$A36,Tracker!$Z$6:$Z$65,"Green"))</f>
        <v/>
      </c>
      <c r="J36" s="50" t="str">
        <f>IF($A36="","",COUNTIFS(Tracker!$E$6:$E$65,$A36,Tracker!$Z$6:$Z$65,"Amber"))</f>
        <v/>
      </c>
      <c r="K36" s="50" t="str">
        <f>IF($A36="","",COUNTIFS(Tracker!$E$6:$E$65,$A36,Tracker!$Z$6:$Z$65,"Red"))</f>
        <v/>
      </c>
      <c r="L36" s="51" t="str">
        <f t="shared" si="0"/>
        <v/>
      </c>
      <c r="M36" s="29" t="str">
        <f t="shared" si="1"/>
        <v/>
      </c>
      <c r="N36" s="15" t="str">
        <f>IF($A36="","",IF(C36="Not found","Check company ID",IF(COUNTIF(Setup!$A$13:$A$27,D36)=0,"Check department",IF(G36+H36=0,"No measure","OK"))))</f>
        <v/>
      </c>
      <c r="O36" s="63" t="str">
        <f>IF(OR($A36="",$D36&lt;&gt;'Department view'!$C$4),"",COUNTIF($D$6:$D36,'Department view'!$C$4))</f>
        <v/>
      </c>
    </row>
    <row r="37" spans="1:15" x14ac:dyDescent="0.45">
      <c r="A37" s="20"/>
      <c r="B37" s="20"/>
      <c r="C37" s="15" t="str">
        <f>IF(B37="","",IFERROR(INDEX(Strategy!$C$6:$C$15,MATCH(B37,Strategy!$A$6:$A$15,0)),"Not found"))</f>
        <v/>
      </c>
      <c r="D37" s="20"/>
      <c r="E37" s="20"/>
      <c r="F37" s="20"/>
      <c r="G37" s="50" t="str">
        <f>IF($A37="","",COUNTIFS(Measures!$E$6:$E$65,$A37,Measures!$B$6:$B$65,"KPI"))</f>
        <v/>
      </c>
      <c r="H37" s="50" t="str">
        <f>IF($A37="","",COUNTIFS(Measures!$E$6:$E$65,$A37,Measures!$B$6:$B$65,"KRI"))</f>
        <v/>
      </c>
      <c r="I37" s="50" t="str">
        <f>IF($A37="","",COUNTIFS(Tracker!$E$6:$E$65,$A37,Tracker!$Z$6:$Z$65,"Green"))</f>
        <v/>
      </c>
      <c r="J37" s="50" t="str">
        <f>IF($A37="","",COUNTIFS(Tracker!$E$6:$E$65,$A37,Tracker!$Z$6:$Z$65,"Amber"))</f>
        <v/>
      </c>
      <c r="K37" s="50" t="str">
        <f>IF($A37="","",COUNTIFS(Tracker!$E$6:$E$65,$A37,Tracker!$Z$6:$Z$65,"Red"))</f>
        <v/>
      </c>
      <c r="L37" s="51" t="str">
        <f t="shared" si="0"/>
        <v/>
      </c>
      <c r="M37" s="29" t="str">
        <f t="shared" si="1"/>
        <v/>
      </c>
      <c r="N37" s="15" t="str">
        <f>IF($A37="","",IF(C37="Not found","Check company ID",IF(COUNTIF(Setup!$A$13:$A$27,D37)=0,"Check department",IF(G37+H37=0,"No measure","OK"))))</f>
        <v/>
      </c>
      <c r="O37" s="63" t="str">
        <f>IF(OR($A37="",$D37&lt;&gt;'Department view'!$C$4),"",COUNTIF($D$6:$D37,'Department view'!$C$4))</f>
        <v/>
      </c>
    </row>
    <row r="38" spans="1:15" x14ac:dyDescent="0.45">
      <c r="A38" s="20"/>
      <c r="B38" s="20"/>
      <c r="C38" s="15" t="str">
        <f>IF(B38="","",IFERROR(INDEX(Strategy!$C$6:$C$15,MATCH(B38,Strategy!$A$6:$A$15,0)),"Not found"))</f>
        <v/>
      </c>
      <c r="D38" s="20"/>
      <c r="E38" s="20"/>
      <c r="F38" s="20"/>
      <c r="G38" s="50" t="str">
        <f>IF($A38="","",COUNTIFS(Measures!$E$6:$E$65,$A38,Measures!$B$6:$B$65,"KPI"))</f>
        <v/>
      </c>
      <c r="H38" s="50" t="str">
        <f>IF($A38="","",COUNTIFS(Measures!$E$6:$E$65,$A38,Measures!$B$6:$B$65,"KRI"))</f>
        <v/>
      </c>
      <c r="I38" s="50" t="str">
        <f>IF($A38="","",COUNTIFS(Tracker!$E$6:$E$65,$A38,Tracker!$Z$6:$Z$65,"Green"))</f>
        <v/>
      </c>
      <c r="J38" s="50" t="str">
        <f>IF($A38="","",COUNTIFS(Tracker!$E$6:$E$65,$A38,Tracker!$Z$6:$Z$65,"Amber"))</f>
        <v/>
      </c>
      <c r="K38" s="50" t="str">
        <f>IF($A38="","",COUNTIFS(Tracker!$E$6:$E$65,$A38,Tracker!$Z$6:$Z$65,"Red"))</f>
        <v/>
      </c>
      <c r="L38" s="51" t="str">
        <f t="shared" ref="L38:L69" si="2">IF(OR($A38="",SUM(I38:K38)=0),"",(I38+0.5*J38)/SUM(I38:K38))</f>
        <v/>
      </c>
      <c r="M38" s="29" t="str">
        <f t="shared" ref="M38:M69" si="3">IF(L38="","",IF(L38&gt;=0.75,"On track",IF(L38&gt;=0.5,"Watch","Off track")))</f>
        <v/>
      </c>
      <c r="N38" s="15" t="str">
        <f>IF($A38="","",IF(C38="Not found","Check company ID",IF(COUNTIF(Setup!$A$13:$A$27,D38)=0,"Check department",IF(G38+H38=0,"No measure","OK"))))</f>
        <v/>
      </c>
      <c r="O38" s="63" t="str">
        <f>IF(OR($A38="",$D38&lt;&gt;'Department view'!$C$4),"",COUNTIF($D$6:$D38,'Department view'!$C$4))</f>
        <v/>
      </c>
    </row>
    <row r="39" spans="1:15" x14ac:dyDescent="0.45">
      <c r="A39" s="20"/>
      <c r="B39" s="20"/>
      <c r="C39" s="15" t="str">
        <f>IF(B39="","",IFERROR(INDEX(Strategy!$C$6:$C$15,MATCH(B39,Strategy!$A$6:$A$15,0)),"Not found"))</f>
        <v/>
      </c>
      <c r="D39" s="20"/>
      <c r="E39" s="20"/>
      <c r="F39" s="20"/>
      <c r="G39" s="50" t="str">
        <f>IF($A39="","",COUNTIFS(Measures!$E$6:$E$65,$A39,Measures!$B$6:$B$65,"KPI"))</f>
        <v/>
      </c>
      <c r="H39" s="50" t="str">
        <f>IF($A39="","",COUNTIFS(Measures!$E$6:$E$65,$A39,Measures!$B$6:$B$65,"KRI"))</f>
        <v/>
      </c>
      <c r="I39" s="50" t="str">
        <f>IF($A39="","",COUNTIFS(Tracker!$E$6:$E$65,$A39,Tracker!$Z$6:$Z$65,"Green"))</f>
        <v/>
      </c>
      <c r="J39" s="50" t="str">
        <f>IF($A39="","",COUNTIFS(Tracker!$E$6:$E$65,$A39,Tracker!$Z$6:$Z$65,"Amber"))</f>
        <v/>
      </c>
      <c r="K39" s="50" t="str">
        <f>IF($A39="","",COUNTIFS(Tracker!$E$6:$E$65,$A39,Tracker!$Z$6:$Z$65,"Red"))</f>
        <v/>
      </c>
      <c r="L39" s="51" t="str">
        <f t="shared" si="2"/>
        <v/>
      </c>
      <c r="M39" s="29" t="str">
        <f t="shared" si="3"/>
        <v/>
      </c>
      <c r="N39" s="15" t="str">
        <f>IF($A39="","",IF(C39="Not found","Check company ID",IF(COUNTIF(Setup!$A$13:$A$27,D39)=0,"Check department",IF(G39+H39=0,"No measure","OK"))))</f>
        <v/>
      </c>
      <c r="O39" s="63" t="str">
        <f>IF(OR($A39="",$D39&lt;&gt;'Department view'!$C$4),"",COUNTIF($D$6:$D39,'Department view'!$C$4))</f>
        <v/>
      </c>
    </row>
    <row r="40" spans="1:15" x14ac:dyDescent="0.45">
      <c r="A40" s="20"/>
      <c r="B40" s="20"/>
      <c r="C40" s="15" t="str">
        <f>IF(B40="","",IFERROR(INDEX(Strategy!$C$6:$C$15,MATCH(B40,Strategy!$A$6:$A$15,0)),"Not found"))</f>
        <v/>
      </c>
      <c r="D40" s="20"/>
      <c r="E40" s="20"/>
      <c r="F40" s="20"/>
      <c r="G40" s="50" t="str">
        <f>IF($A40="","",COUNTIFS(Measures!$E$6:$E$65,$A40,Measures!$B$6:$B$65,"KPI"))</f>
        <v/>
      </c>
      <c r="H40" s="50" t="str">
        <f>IF($A40="","",COUNTIFS(Measures!$E$6:$E$65,$A40,Measures!$B$6:$B$65,"KRI"))</f>
        <v/>
      </c>
      <c r="I40" s="50" t="str">
        <f>IF($A40="","",COUNTIFS(Tracker!$E$6:$E$65,$A40,Tracker!$Z$6:$Z$65,"Green"))</f>
        <v/>
      </c>
      <c r="J40" s="50" t="str">
        <f>IF($A40="","",COUNTIFS(Tracker!$E$6:$E$65,$A40,Tracker!$Z$6:$Z$65,"Amber"))</f>
        <v/>
      </c>
      <c r="K40" s="50" t="str">
        <f>IF($A40="","",COUNTIFS(Tracker!$E$6:$E$65,$A40,Tracker!$Z$6:$Z$65,"Red"))</f>
        <v/>
      </c>
      <c r="L40" s="51" t="str">
        <f t="shared" si="2"/>
        <v/>
      </c>
      <c r="M40" s="29" t="str">
        <f t="shared" si="3"/>
        <v/>
      </c>
      <c r="N40" s="15" t="str">
        <f>IF($A40="","",IF(C40="Not found","Check company ID",IF(COUNTIF(Setup!$A$13:$A$27,D40)=0,"Check department",IF(G40+H40=0,"No measure","OK"))))</f>
        <v/>
      </c>
      <c r="O40" s="63" t="str">
        <f>IF(OR($A40="",$D40&lt;&gt;'Department view'!$C$4),"",COUNTIF($D$6:$D40,'Department view'!$C$4))</f>
        <v/>
      </c>
    </row>
    <row r="41" spans="1:15" x14ac:dyDescent="0.45">
      <c r="A41" s="20"/>
      <c r="B41" s="20"/>
      <c r="C41" s="15" t="str">
        <f>IF(B41="","",IFERROR(INDEX(Strategy!$C$6:$C$15,MATCH(B41,Strategy!$A$6:$A$15,0)),"Not found"))</f>
        <v/>
      </c>
      <c r="D41" s="20"/>
      <c r="E41" s="20"/>
      <c r="F41" s="20"/>
      <c r="G41" s="50" t="str">
        <f>IF($A41="","",COUNTIFS(Measures!$E$6:$E$65,$A41,Measures!$B$6:$B$65,"KPI"))</f>
        <v/>
      </c>
      <c r="H41" s="50" t="str">
        <f>IF($A41="","",COUNTIFS(Measures!$E$6:$E$65,$A41,Measures!$B$6:$B$65,"KRI"))</f>
        <v/>
      </c>
      <c r="I41" s="50" t="str">
        <f>IF($A41="","",COUNTIFS(Tracker!$E$6:$E$65,$A41,Tracker!$Z$6:$Z$65,"Green"))</f>
        <v/>
      </c>
      <c r="J41" s="50" t="str">
        <f>IF($A41="","",COUNTIFS(Tracker!$E$6:$E$65,$A41,Tracker!$Z$6:$Z$65,"Amber"))</f>
        <v/>
      </c>
      <c r="K41" s="50" t="str">
        <f>IF($A41="","",COUNTIFS(Tracker!$E$6:$E$65,$A41,Tracker!$Z$6:$Z$65,"Red"))</f>
        <v/>
      </c>
      <c r="L41" s="51" t="str">
        <f t="shared" si="2"/>
        <v/>
      </c>
      <c r="M41" s="29" t="str">
        <f t="shared" si="3"/>
        <v/>
      </c>
      <c r="N41" s="15" t="str">
        <f>IF($A41="","",IF(C41="Not found","Check company ID",IF(COUNTIF(Setup!$A$13:$A$27,D41)=0,"Check department",IF(G41+H41=0,"No measure","OK"))))</f>
        <v/>
      </c>
      <c r="O41" s="63" t="str">
        <f>IF(OR($A41="",$D41&lt;&gt;'Department view'!$C$4),"",COUNTIF($D$6:$D41,'Department view'!$C$4))</f>
        <v/>
      </c>
    </row>
    <row r="42" spans="1:15" x14ac:dyDescent="0.45">
      <c r="A42" s="20"/>
      <c r="B42" s="20"/>
      <c r="C42" s="15" t="str">
        <f>IF(B42="","",IFERROR(INDEX(Strategy!$C$6:$C$15,MATCH(B42,Strategy!$A$6:$A$15,0)),"Not found"))</f>
        <v/>
      </c>
      <c r="D42" s="20"/>
      <c r="E42" s="20"/>
      <c r="F42" s="20"/>
      <c r="G42" s="50" t="str">
        <f>IF($A42="","",COUNTIFS(Measures!$E$6:$E$65,$A42,Measures!$B$6:$B$65,"KPI"))</f>
        <v/>
      </c>
      <c r="H42" s="50" t="str">
        <f>IF($A42="","",COUNTIFS(Measures!$E$6:$E$65,$A42,Measures!$B$6:$B$65,"KRI"))</f>
        <v/>
      </c>
      <c r="I42" s="50" t="str">
        <f>IF($A42="","",COUNTIFS(Tracker!$E$6:$E$65,$A42,Tracker!$Z$6:$Z$65,"Green"))</f>
        <v/>
      </c>
      <c r="J42" s="50" t="str">
        <f>IF($A42="","",COUNTIFS(Tracker!$E$6:$E$65,$A42,Tracker!$Z$6:$Z$65,"Amber"))</f>
        <v/>
      </c>
      <c r="K42" s="50" t="str">
        <f>IF($A42="","",COUNTIFS(Tracker!$E$6:$E$65,$A42,Tracker!$Z$6:$Z$65,"Red"))</f>
        <v/>
      </c>
      <c r="L42" s="51" t="str">
        <f t="shared" si="2"/>
        <v/>
      </c>
      <c r="M42" s="29" t="str">
        <f t="shared" si="3"/>
        <v/>
      </c>
      <c r="N42" s="15" t="str">
        <f>IF($A42="","",IF(C42="Not found","Check company ID",IF(COUNTIF(Setup!$A$13:$A$27,D42)=0,"Check department",IF(G42+H42=0,"No measure","OK"))))</f>
        <v/>
      </c>
      <c r="O42" s="63" t="str">
        <f>IF(OR($A42="",$D42&lt;&gt;'Department view'!$C$4),"",COUNTIF($D$6:$D42,'Department view'!$C$4))</f>
        <v/>
      </c>
    </row>
    <row r="43" spans="1:15" x14ac:dyDescent="0.45">
      <c r="A43" s="20"/>
      <c r="B43" s="20"/>
      <c r="C43" s="15" t="str">
        <f>IF(B43="","",IFERROR(INDEX(Strategy!$C$6:$C$15,MATCH(B43,Strategy!$A$6:$A$15,0)),"Not found"))</f>
        <v/>
      </c>
      <c r="D43" s="20"/>
      <c r="E43" s="20"/>
      <c r="F43" s="20"/>
      <c r="G43" s="50" t="str">
        <f>IF($A43="","",COUNTIFS(Measures!$E$6:$E$65,$A43,Measures!$B$6:$B$65,"KPI"))</f>
        <v/>
      </c>
      <c r="H43" s="50" t="str">
        <f>IF($A43="","",COUNTIFS(Measures!$E$6:$E$65,$A43,Measures!$B$6:$B$65,"KRI"))</f>
        <v/>
      </c>
      <c r="I43" s="50" t="str">
        <f>IF($A43="","",COUNTIFS(Tracker!$E$6:$E$65,$A43,Tracker!$Z$6:$Z$65,"Green"))</f>
        <v/>
      </c>
      <c r="J43" s="50" t="str">
        <f>IF($A43="","",COUNTIFS(Tracker!$E$6:$E$65,$A43,Tracker!$Z$6:$Z$65,"Amber"))</f>
        <v/>
      </c>
      <c r="K43" s="50" t="str">
        <f>IF($A43="","",COUNTIFS(Tracker!$E$6:$E$65,$A43,Tracker!$Z$6:$Z$65,"Red"))</f>
        <v/>
      </c>
      <c r="L43" s="51" t="str">
        <f t="shared" si="2"/>
        <v/>
      </c>
      <c r="M43" s="29" t="str">
        <f t="shared" si="3"/>
        <v/>
      </c>
      <c r="N43" s="15" t="str">
        <f>IF($A43="","",IF(C43="Not found","Check company ID",IF(COUNTIF(Setup!$A$13:$A$27,D43)=0,"Check department",IF(G43+H43=0,"No measure","OK"))))</f>
        <v/>
      </c>
      <c r="O43" s="63" t="str">
        <f>IF(OR($A43="",$D43&lt;&gt;'Department view'!$C$4),"",COUNTIF($D$6:$D43,'Department view'!$C$4))</f>
        <v/>
      </c>
    </row>
    <row r="44" spans="1:15" x14ac:dyDescent="0.45">
      <c r="A44" s="20"/>
      <c r="B44" s="20"/>
      <c r="C44" s="15" t="str">
        <f>IF(B44="","",IFERROR(INDEX(Strategy!$C$6:$C$15,MATCH(B44,Strategy!$A$6:$A$15,0)),"Not found"))</f>
        <v/>
      </c>
      <c r="D44" s="20"/>
      <c r="E44" s="20"/>
      <c r="F44" s="20"/>
      <c r="G44" s="50" t="str">
        <f>IF($A44="","",COUNTIFS(Measures!$E$6:$E$65,$A44,Measures!$B$6:$B$65,"KPI"))</f>
        <v/>
      </c>
      <c r="H44" s="50" t="str">
        <f>IF($A44="","",COUNTIFS(Measures!$E$6:$E$65,$A44,Measures!$B$6:$B$65,"KRI"))</f>
        <v/>
      </c>
      <c r="I44" s="50" t="str">
        <f>IF($A44="","",COUNTIFS(Tracker!$E$6:$E$65,$A44,Tracker!$Z$6:$Z$65,"Green"))</f>
        <v/>
      </c>
      <c r="J44" s="50" t="str">
        <f>IF($A44="","",COUNTIFS(Tracker!$E$6:$E$65,$A44,Tracker!$Z$6:$Z$65,"Amber"))</f>
        <v/>
      </c>
      <c r="K44" s="50" t="str">
        <f>IF($A44="","",COUNTIFS(Tracker!$E$6:$E$65,$A44,Tracker!$Z$6:$Z$65,"Red"))</f>
        <v/>
      </c>
      <c r="L44" s="51" t="str">
        <f t="shared" si="2"/>
        <v/>
      </c>
      <c r="M44" s="29" t="str">
        <f t="shared" si="3"/>
        <v/>
      </c>
      <c r="N44" s="15" t="str">
        <f>IF($A44="","",IF(C44="Not found","Check company ID",IF(COUNTIF(Setup!$A$13:$A$27,D44)=0,"Check department",IF(G44+H44=0,"No measure","OK"))))</f>
        <v/>
      </c>
      <c r="O44" s="63" t="str">
        <f>IF(OR($A44="",$D44&lt;&gt;'Department view'!$C$4),"",COUNTIF($D$6:$D44,'Department view'!$C$4))</f>
        <v/>
      </c>
    </row>
    <row r="45" spans="1:15" x14ac:dyDescent="0.45">
      <c r="A45" s="20"/>
      <c r="B45" s="20"/>
      <c r="C45" s="15" t="str">
        <f>IF(B45="","",IFERROR(INDEX(Strategy!$C$6:$C$15,MATCH(B45,Strategy!$A$6:$A$15,0)),"Not found"))</f>
        <v/>
      </c>
      <c r="D45" s="20"/>
      <c r="E45" s="20"/>
      <c r="F45" s="20"/>
      <c r="G45" s="50" t="str">
        <f>IF($A45="","",COUNTIFS(Measures!$E$6:$E$65,$A45,Measures!$B$6:$B$65,"KPI"))</f>
        <v/>
      </c>
      <c r="H45" s="50" t="str">
        <f>IF($A45="","",COUNTIFS(Measures!$E$6:$E$65,$A45,Measures!$B$6:$B$65,"KRI"))</f>
        <v/>
      </c>
      <c r="I45" s="50" t="str">
        <f>IF($A45="","",COUNTIFS(Tracker!$E$6:$E$65,$A45,Tracker!$Z$6:$Z$65,"Green"))</f>
        <v/>
      </c>
      <c r="J45" s="50" t="str">
        <f>IF($A45="","",COUNTIFS(Tracker!$E$6:$E$65,$A45,Tracker!$Z$6:$Z$65,"Amber"))</f>
        <v/>
      </c>
      <c r="K45" s="50" t="str">
        <f>IF($A45="","",COUNTIFS(Tracker!$E$6:$E$65,$A45,Tracker!$Z$6:$Z$65,"Red"))</f>
        <v/>
      </c>
      <c r="L45" s="51" t="str">
        <f t="shared" si="2"/>
        <v/>
      </c>
      <c r="M45" s="29" t="str">
        <f t="shared" si="3"/>
        <v/>
      </c>
      <c r="N45" s="15" t="str">
        <f>IF($A45="","",IF(C45="Not found","Check company ID",IF(COUNTIF(Setup!$A$13:$A$27,D45)=0,"Check department",IF(G45+H45=0,"No measure","OK"))))</f>
        <v/>
      </c>
      <c r="O45" s="63" t="str">
        <f>IF(OR($A45="",$D45&lt;&gt;'Department view'!$C$4),"",COUNTIF($D$6:$D45,'Department view'!$C$4))</f>
        <v/>
      </c>
    </row>
    <row r="46" spans="1:15" x14ac:dyDescent="0.45">
      <c r="A46" s="20"/>
      <c r="B46" s="20"/>
      <c r="C46" s="15" t="str">
        <f>IF(B46="","",IFERROR(INDEX(Strategy!$C$6:$C$15,MATCH(B46,Strategy!$A$6:$A$15,0)),"Not found"))</f>
        <v/>
      </c>
      <c r="D46" s="20"/>
      <c r="E46" s="20"/>
      <c r="F46" s="20"/>
      <c r="G46" s="50" t="str">
        <f>IF($A46="","",COUNTIFS(Measures!$E$6:$E$65,$A46,Measures!$B$6:$B$65,"KPI"))</f>
        <v/>
      </c>
      <c r="H46" s="50" t="str">
        <f>IF($A46="","",COUNTIFS(Measures!$E$6:$E$65,$A46,Measures!$B$6:$B$65,"KRI"))</f>
        <v/>
      </c>
      <c r="I46" s="50" t="str">
        <f>IF($A46="","",COUNTIFS(Tracker!$E$6:$E$65,$A46,Tracker!$Z$6:$Z$65,"Green"))</f>
        <v/>
      </c>
      <c r="J46" s="50" t="str">
        <f>IF($A46="","",COUNTIFS(Tracker!$E$6:$E$65,$A46,Tracker!$Z$6:$Z$65,"Amber"))</f>
        <v/>
      </c>
      <c r="K46" s="50" t="str">
        <f>IF($A46="","",COUNTIFS(Tracker!$E$6:$E$65,$A46,Tracker!$Z$6:$Z$65,"Red"))</f>
        <v/>
      </c>
      <c r="L46" s="51" t="str">
        <f t="shared" si="2"/>
        <v/>
      </c>
      <c r="M46" s="29" t="str">
        <f t="shared" si="3"/>
        <v/>
      </c>
      <c r="N46" s="15" t="str">
        <f>IF($A46="","",IF(C46="Not found","Check company ID",IF(COUNTIF(Setup!$A$13:$A$27,D46)=0,"Check department",IF(G46+H46=0,"No measure","OK"))))</f>
        <v/>
      </c>
      <c r="O46" s="63" t="str">
        <f>IF(OR($A46="",$D46&lt;&gt;'Department view'!$C$4),"",COUNTIF($D$6:$D46,'Department view'!$C$4))</f>
        <v/>
      </c>
    </row>
    <row r="47" spans="1:15" x14ac:dyDescent="0.45">
      <c r="A47" s="20"/>
      <c r="B47" s="20"/>
      <c r="C47" s="15" t="str">
        <f>IF(B47="","",IFERROR(INDEX(Strategy!$C$6:$C$15,MATCH(B47,Strategy!$A$6:$A$15,0)),"Not found"))</f>
        <v/>
      </c>
      <c r="D47" s="20"/>
      <c r="E47" s="20"/>
      <c r="F47" s="20"/>
      <c r="G47" s="50" t="str">
        <f>IF($A47="","",COUNTIFS(Measures!$E$6:$E$65,$A47,Measures!$B$6:$B$65,"KPI"))</f>
        <v/>
      </c>
      <c r="H47" s="50" t="str">
        <f>IF($A47="","",COUNTIFS(Measures!$E$6:$E$65,$A47,Measures!$B$6:$B$65,"KRI"))</f>
        <v/>
      </c>
      <c r="I47" s="50" t="str">
        <f>IF($A47="","",COUNTIFS(Tracker!$E$6:$E$65,$A47,Tracker!$Z$6:$Z$65,"Green"))</f>
        <v/>
      </c>
      <c r="J47" s="50" t="str">
        <f>IF($A47="","",COUNTIFS(Tracker!$E$6:$E$65,$A47,Tracker!$Z$6:$Z$65,"Amber"))</f>
        <v/>
      </c>
      <c r="K47" s="50" t="str">
        <f>IF($A47="","",COUNTIFS(Tracker!$E$6:$E$65,$A47,Tracker!$Z$6:$Z$65,"Red"))</f>
        <v/>
      </c>
      <c r="L47" s="51" t="str">
        <f t="shared" si="2"/>
        <v/>
      </c>
      <c r="M47" s="29" t="str">
        <f t="shared" si="3"/>
        <v/>
      </c>
      <c r="N47" s="15" t="str">
        <f>IF($A47="","",IF(C47="Not found","Check company ID",IF(COUNTIF(Setup!$A$13:$A$27,D47)=0,"Check department",IF(G47+H47=0,"No measure","OK"))))</f>
        <v/>
      </c>
      <c r="O47" s="63" t="str">
        <f>IF(OR($A47="",$D47&lt;&gt;'Department view'!$C$4),"",COUNTIF($D$6:$D47,'Department view'!$C$4))</f>
        <v/>
      </c>
    </row>
    <row r="48" spans="1:15" x14ac:dyDescent="0.45">
      <c r="A48" s="20"/>
      <c r="B48" s="20"/>
      <c r="C48" s="15" t="str">
        <f>IF(B48="","",IFERROR(INDEX(Strategy!$C$6:$C$15,MATCH(B48,Strategy!$A$6:$A$15,0)),"Not found"))</f>
        <v/>
      </c>
      <c r="D48" s="20"/>
      <c r="E48" s="20"/>
      <c r="F48" s="20"/>
      <c r="G48" s="50" t="str">
        <f>IF($A48="","",COUNTIFS(Measures!$E$6:$E$65,$A48,Measures!$B$6:$B$65,"KPI"))</f>
        <v/>
      </c>
      <c r="H48" s="50" t="str">
        <f>IF($A48="","",COUNTIFS(Measures!$E$6:$E$65,$A48,Measures!$B$6:$B$65,"KRI"))</f>
        <v/>
      </c>
      <c r="I48" s="50" t="str">
        <f>IF($A48="","",COUNTIFS(Tracker!$E$6:$E$65,$A48,Tracker!$Z$6:$Z$65,"Green"))</f>
        <v/>
      </c>
      <c r="J48" s="50" t="str">
        <f>IF($A48="","",COUNTIFS(Tracker!$E$6:$E$65,$A48,Tracker!$Z$6:$Z$65,"Amber"))</f>
        <v/>
      </c>
      <c r="K48" s="50" t="str">
        <f>IF($A48="","",COUNTIFS(Tracker!$E$6:$E$65,$A48,Tracker!$Z$6:$Z$65,"Red"))</f>
        <v/>
      </c>
      <c r="L48" s="51" t="str">
        <f t="shared" si="2"/>
        <v/>
      </c>
      <c r="M48" s="29" t="str">
        <f t="shared" si="3"/>
        <v/>
      </c>
      <c r="N48" s="15" t="str">
        <f>IF($A48="","",IF(C48="Not found","Check company ID",IF(COUNTIF(Setup!$A$13:$A$27,D48)=0,"Check department",IF(G48+H48=0,"No measure","OK"))))</f>
        <v/>
      </c>
      <c r="O48" s="63" t="str">
        <f>IF(OR($A48="",$D48&lt;&gt;'Department view'!$C$4),"",COUNTIF($D$6:$D48,'Department view'!$C$4))</f>
        <v/>
      </c>
    </row>
    <row r="49" spans="1:15" x14ac:dyDescent="0.45">
      <c r="A49" s="20"/>
      <c r="B49" s="20"/>
      <c r="C49" s="15" t="str">
        <f>IF(B49="","",IFERROR(INDEX(Strategy!$C$6:$C$15,MATCH(B49,Strategy!$A$6:$A$15,0)),"Not found"))</f>
        <v/>
      </c>
      <c r="D49" s="20"/>
      <c r="E49" s="20"/>
      <c r="F49" s="20"/>
      <c r="G49" s="50" t="str">
        <f>IF($A49="","",COUNTIFS(Measures!$E$6:$E$65,$A49,Measures!$B$6:$B$65,"KPI"))</f>
        <v/>
      </c>
      <c r="H49" s="50" t="str">
        <f>IF($A49="","",COUNTIFS(Measures!$E$6:$E$65,$A49,Measures!$B$6:$B$65,"KRI"))</f>
        <v/>
      </c>
      <c r="I49" s="50" t="str">
        <f>IF($A49="","",COUNTIFS(Tracker!$E$6:$E$65,$A49,Tracker!$Z$6:$Z$65,"Green"))</f>
        <v/>
      </c>
      <c r="J49" s="50" t="str">
        <f>IF($A49="","",COUNTIFS(Tracker!$E$6:$E$65,$A49,Tracker!$Z$6:$Z$65,"Amber"))</f>
        <v/>
      </c>
      <c r="K49" s="50" t="str">
        <f>IF($A49="","",COUNTIFS(Tracker!$E$6:$E$65,$A49,Tracker!$Z$6:$Z$65,"Red"))</f>
        <v/>
      </c>
      <c r="L49" s="51" t="str">
        <f t="shared" si="2"/>
        <v/>
      </c>
      <c r="M49" s="29" t="str">
        <f t="shared" si="3"/>
        <v/>
      </c>
      <c r="N49" s="15" t="str">
        <f>IF($A49="","",IF(C49="Not found","Check company ID",IF(COUNTIF(Setup!$A$13:$A$27,D49)=0,"Check department",IF(G49+H49=0,"No measure","OK"))))</f>
        <v/>
      </c>
      <c r="O49" s="63" t="str">
        <f>IF(OR($A49="",$D49&lt;&gt;'Department view'!$C$4),"",COUNTIF($D$6:$D49,'Department view'!$C$4))</f>
        <v/>
      </c>
    </row>
    <row r="50" spans="1:15" x14ac:dyDescent="0.45">
      <c r="A50" s="20"/>
      <c r="B50" s="20"/>
      <c r="C50" s="15" t="str">
        <f>IF(B50="","",IFERROR(INDEX(Strategy!$C$6:$C$15,MATCH(B50,Strategy!$A$6:$A$15,0)),"Not found"))</f>
        <v/>
      </c>
      <c r="D50" s="20"/>
      <c r="E50" s="20"/>
      <c r="F50" s="20"/>
      <c r="G50" s="50" t="str">
        <f>IF($A50="","",COUNTIFS(Measures!$E$6:$E$65,$A50,Measures!$B$6:$B$65,"KPI"))</f>
        <v/>
      </c>
      <c r="H50" s="50" t="str">
        <f>IF($A50="","",COUNTIFS(Measures!$E$6:$E$65,$A50,Measures!$B$6:$B$65,"KRI"))</f>
        <v/>
      </c>
      <c r="I50" s="50" t="str">
        <f>IF($A50="","",COUNTIFS(Tracker!$E$6:$E$65,$A50,Tracker!$Z$6:$Z$65,"Green"))</f>
        <v/>
      </c>
      <c r="J50" s="50" t="str">
        <f>IF($A50="","",COUNTIFS(Tracker!$E$6:$E$65,$A50,Tracker!$Z$6:$Z$65,"Amber"))</f>
        <v/>
      </c>
      <c r="K50" s="50" t="str">
        <f>IF($A50="","",COUNTIFS(Tracker!$E$6:$E$65,$A50,Tracker!$Z$6:$Z$65,"Red"))</f>
        <v/>
      </c>
      <c r="L50" s="51" t="str">
        <f t="shared" si="2"/>
        <v/>
      </c>
      <c r="M50" s="29" t="str">
        <f t="shared" si="3"/>
        <v/>
      </c>
      <c r="N50" s="15" t="str">
        <f>IF($A50="","",IF(C50="Not found","Check company ID",IF(COUNTIF(Setup!$A$13:$A$27,D50)=0,"Check department",IF(G50+H50=0,"No measure","OK"))))</f>
        <v/>
      </c>
      <c r="O50" s="63" t="str">
        <f>IF(OR($A50="",$D50&lt;&gt;'Department view'!$C$4),"",COUNTIF($D$6:$D50,'Department view'!$C$4))</f>
        <v/>
      </c>
    </row>
    <row r="51" spans="1:15" x14ac:dyDescent="0.45">
      <c r="A51" s="20"/>
      <c r="B51" s="20"/>
      <c r="C51" s="15" t="str">
        <f>IF(B51="","",IFERROR(INDEX(Strategy!$C$6:$C$15,MATCH(B51,Strategy!$A$6:$A$15,0)),"Not found"))</f>
        <v/>
      </c>
      <c r="D51" s="20"/>
      <c r="E51" s="20"/>
      <c r="F51" s="20"/>
      <c r="G51" s="50" t="str">
        <f>IF($A51="","",COUNTIFS(Measures!$E$6:$E$65,$A51,Measures!$B$6:$B$65,"KPI"))</f>
        <v/>
      </c>
      <c r="H51" s="50" t="str">
        <f>IF($A51="","",COUNTIFS(Measures!$E$6:$E$65,$A51,Measures!$B$6:$B$65,"KRI"))</f>
        <v/>
      </c>
      <c r="I51" s="50" t="str">
        <f>IF($A51="","",COUNTIFS(Tracker!$E$6:$E$65,$A51,Tracker!$Z$6:$Z$65,"Green"))</f>
        <v/>
      </c>
      <c r="J51" s="50" t="str">
        <f>IF($A51="","",COUNTIFS(Tracker!$E$6:$E$65,$A51,Tracker!$Z$6:$Z$65,"Amber"))</f>
        <v/>
      </c>
      <c r="K51" s="50" t="str">
        <f>IF($A51="","",COUNTIFS(Tracker!$E$6:$E$65,$A51,Tracker!$Z$6:$Z$65,"Red"))</f>
        <v/>
      </c>
      <c r="L51" s="51" t="str">
        <f t="shared" si="2"/>
        <v/>
      </c>
      <c r="M51" s="29" t="str">
        <f t="shared" si="3"/>
        <v/>
      </c>
      <c r="N51" s="15" t="str">
        <f>IF($A51="","",IF(C51="Not found","Check company ID",IF(COUNTIF(Setup!$A$13:$A$27,D51)=0,"Check department",IF(G51+H51=0,"No measure","OK"))))</f>
        <v/>
      </c>
      <c r="O51" s="63" t="str">
        <f>IF(OR($A51="",$D51&lt;&gt;'Department view'!$C$4),"",COUNTIF($D$6:$D51,'Department view'!$C$4))</f>
        <v/>
      </c>
    </row>
    <row r="52" spans="1:15" x14ac:dyDescent="0.45">
      <c r="A52" s="20"/>
      <c r="B52" s="20"/>
      <c r="C52" s="15" t="str">
        <f>IF(B52="","",IFERROR(INDEX(Strategy!$C$6:$C$15,MATCH(B52,Strategy!$A$6:$A$15,0)),"Not found"))</f>
        <v/>
      </c>
      <c r="D52" s="20"/>
      <c r="E52" s="20"/>
      <c r="F52" s="20"/>
      <c r="G52" s="50" t="str">
        <f>IF($A52="","",COUNTIFS(Measures!$E$6:$E$65,$A52,Measures!$B$6:$B$65,"KPI"))</f>
        <v/>
      </c>
      <c r="H52" s="50" t="str">
        <f>IF($A52="","",COUNTIFS(Measures!$E$6:$E$65,$A52,Measures!$B$6:$B$65,"KRI"))</f>
        <v/>
      </c>
      <c r="I52" s="50" t="str">
        <f>IF($A52="","",COUNTIFS(Tracker!$E$6:$E$65,$A52,Tracker!$Z$6:$Z$65,"Green"))</f>
        <v/>
      </c>
      <c r="J52" s="50" t="str">
        <f>IF($A52="","",COUNTIFS(Tracker!$E$6:$E$65,$A52,Tracker!$Z$6:$Z$65,"Amber"))</f>
        <v/>
      </c>
      <c r="K52" s="50" t="str">
        <f>IF($A52="","",COUNTIFS(Tracker!$E$6:$E$65,$A52,Tracker!$Z$6:$Z$65,"Red"))</f>
        <v/>
      </c>
      <c r="L52" s="51" t="str">
        <f t="shared" si="2"/>
        <v/>
      </c>
      <c r="M52" s="29" t="str">
        <f t="shared" si="3"/>
        <v/>
      </c>
      <c r="N52" s="15" t="str">
        <f>IF($A52="","",IF(C52="Not found","Check company ID",IF(COUNTIF(Setup!$A$13:$A$27,D52)=0,"Check department",IF(G52+H52=0,"No measure","OK"))))</f>
        <v/>
      </c>
      <c r="O52" s="63" t="str">
        <f>IF(OR($A52="",$D52&lt;&gt;'Department view'!$C$4),"",COUNTIF($D$6:$D52,'Department view'!$C$4))</f>
        <v/>
      </c>
    </row>
    <row r="53" spans="1:15" x14ac:dyDescent="0.45">
      <c r="A53" s="20"/>
      <c r="B53" s="20"/>
      <c r="C53" s="15" t="str">
        <f>IF(B53="","",IFERROR(INDEX(Strategy!$C$6:$C$15,MATCH(B53,Strategy!$A$6:$A$15,0)),"Not found"))</f>
        <v/>
      </c>
      <c r="D53" s="20"/>
      <c r="E53" s="20"/>
      <c r="F53" s="20"/>
      <c r="G53" s="50" t="str">
        <f>IF($A53="","",COUNTIFS(Measures!$E$6:$E$65,$A53,Measures!$B$6:$B$65,"KPI"))</f>
        <v/>
      </c>
      <c r="H53" s="50" t="str">
        <f>IF($A53="","",COUNTIFS(Measures!$E$6:$E$65,$A53,Measures!$B$6:$B$65,"KRI"))</f>
        <v/>
      </c>
      <c r="I53" s="50" t="str">
        <f>IF($A53="","",COUNTIFS(Tracker!$E$6:$E$65,$A53,Tracker!$Z$6:$Z$65,"Green"))</f>
        <v/>
      </c>
      <c r="J53" s="50" t="str">
        <f>IF($A53="","",COUNTIFS(Tracker!$E$6:$E$65,$A53,Tracker!$Z$6:$Z$65,"Amber"))</f>
        <v/>
      </c>
      <c r="K53" s="50" t="str">
        <f>IF($A53="","",COUNTIFS(Tracker!$E$6:$E$65,$A53,Tracker!$Z$6:$Z$65,"Red"))</f>
        <v/>
      </c>
      <c r="L53" s="51" t="str">
        <f t="shared" si="2"/>
        <v/>
      </c>
      <c r="M53" s="29" t="str">
        <f t="shared" si="3"/>
        <v/>
      </c>
      <c r="N53" s="15" t="str">
        <f>IF($A53="","",IF(C53="Not found","Check company ID",IF(COUNTIF(Setup!$A$13:$A$27,D53)=0,"Check department",IF(G53+H53=0,"No measure","OK"))))</f>
        <v/>
      </c>
      <c r="O53" s="63" t="str">
        <f>IF(OR($A53="",$D53&lt;&gt;'Department view'!$C$4),"",COUNTIF($D$6:$D53,'Department view'!$C$4))</f>
        <v/>
      </c>
    </row>
    <row r="54" spans="1:15" x14ac:dyDescent="0.45">
      <c r="A54" s="20"/>
      <c r="B54" s="20"/>
      <c r="C54" s="15" t="str">
        <f>IF(B54="","",IFERROR(INDEX(Strategy!$C$6:$C$15,MATCH(B54,Strategy!$A$6:$A$15,0)),"Not found"))</f>
        <v/>
      </c>
      <c r="D54" s="20"/>
      <c r="E54" s="20"/>
      <c r="F54" s="20"/>
      <c r="G54" s="50" t="str">
        <f>IF($A54="","",COUNTIFS(Measures!$E$6:$E$65,$A54,Measures!$B$6:$B$65,"KPI"))</f>
        <v/>
      </c>
      <c r="H54" s="50" t="str">
        <f>IF($A54="","",COUNTIFS(Measures!$E$6:$E$65,$A54,Measures!$B$6:$B$65,"KRI"))</f>
        <v/>
      </c>
      <c r="I54" s="50" t="str">
        <f>IF($A54="","",COUNTIFS(Tracker!$E$6:$E$65,$A54,Tracker!$Z$6:$Z$65,"Green"))</f>
        <v/>
      </c>
      <c r="J54" s="50" t="str">
        <f>IF($A54="","",COUNTIFS(Tracker!$E$6:$E$65,$A54,Tracker!$Z$6:$Z$65,"Amber"))</f>
        <v/>
      </c>
      <c r="K54" s="50" t="str">
        <f>IF($A54="","",COUNTIFS(Tracker!$E$6:$E$65,$A54,Tracker!$Z$6:$Z$65,"Red"))</f>
        <v/>
      </c>
      <c r="L54" s="51" t="str">
        <f t="shared" si="2"/>
        <v/>
      </c>
      <c r="M54" s="29" t="str">
        <f t="shared" si="3"/>
        <v/>
      </c>
      <c r="N54" s="15" t="str">
        <f>IF($A54="","",IF(C54="Not found","Check company ID",IF(COUNTIF(Setup!$A$13:$A$27,D54)=0,"Check department",IF(G54+H54=0,"No measure","OK"))))</f>
        <v/>
      </c>
      <c r="O54" s="63" t="str">
        <f>IF(OR($A54="",$D54&lt;&gt;'Department view'!$C$4),"",COUNTIF($D$6:$D54,'Department view'!$C$4))</f>
        <v/>
      </c>
    </row>
    <row r="55" spans="1:15" x14ac:dyDescent="0.45">
      <c r="A55" s="20"/>
      <c r="B55" s="20"/>
      <c r="C55" s="15" t="str">
        <f>IF(B55="","",IFERROR(INDEX(Strategy!$C$6:$C$15,MATCH(B55,Strategy!$A$6:$A$15,0)),"Not found"))</f>
        <v/>
      </c>
      <c r="D55" s="20"/>
      <c r="E55" s="20"/>
      <c r="F55" s="20"/>
      <c r="G55" s="50" t="str">
        <f>IF($A55="","",COUNTIFS(Measures!$E$6:$E$65,$A55,Measures!$B$6:$B$65,"KPI"))</f>
        <v/>
      </c>
      <c r="H55" s="50" t="str">
        <f>IF($A55="","",COUNTIFS(Measures!$E$6:$E$65,$A55,Measures!$B$6:$B$65,"KRI"))</f>
        <v/>
      </c>
      <c r="I55" s="50" t="str">
        <f>IF($A55="","",COUNTIFS(Tracker!$E$6:$E$65,$A55,Tracker!$Z$6:$Z$65,"Green"))</f>
        <v/>
      </c>
      <c r="J55" s="50" t="str">
        <f>IF($A55="","",COUNTIFS(Tracker!$E$6:$E$65,$A55,Tracker!$Z$6:$Z$65,"Amber"))</f>
        <v/>
      </c>
      <c r="K55" s="50" t="str">
        <f>IF($A55="","",COUNTIFS(Tracker!$E$6:$E$65,$A55,Tracker!$Z$6:$Z$65,"Red"))</f>
        <v/>
      </c>
      <c r="L55" s="51" t="str">
        <f t="shared" si="2"/>
        <v/>
      </c>
      <c r="M55" s="29" t="str">
        <f t="shared" si="3"/>
        <v/>
      </c>
      <c r="N55" s="15" t="str">
        <f>IF($A55="","",IF(C55="Not found","Check company ID",IF(COUNTIF(Setup!$A$13:$A$27,D55)=0,"Check department",IF(G55+H55=0,"No measure","OK"))))</f>
        <v/>
      </c>
      <c r="O55" s="63" t="str">
        <f>IF(OR($A55="",$D55&lt;&gt;'Department view'!$C$4),"",COUNTIF($D$6:$D55,'Department view'!$C$4))</f>
        <v/>
      </c>
    </row>
    <row r="56" spans="1:15" x14ac:dyDescent="0.45">
      <c r="A56" s="20"/>
      <c r="B56" s="20"/>
      <c r="C56" s="15" t="str">
        <f>IF(B56="","",IFERROR(INDEX(Strategy!$C$6:$C$15,MATCH(B56,Strategy!$A$6:$A$15,0)),"Not found"))</f>
        <v/>
      </c>
      <c r="D56" s="20"/>
      <c r="E56" s="20"/>
      <c r="F56" s="20"/>
      <c r="G56" s="50" t="str">
        <f>IF($A56="","",COUNTIFS(Measures!$E$6:$E$65,$A56,Measures!$B$6:$B$65,"KPI"))</f>
        <v/>
      </c>
      <c r="H56" s="50" t="str">
        <f>IF($A56="","",COUNTIFS(Measures!$E$6:$E$65,$A56,Measures!$B$6:$B$65,"KRI"))</f>
        <v/>
      </c>
      <c r="I56" s="50" t="str">
        <f>IF($A56="","",COUNTIFS(Tracker!$E$6:$E$65,$A56,Tracker!$Z$6:$Z$65,"Green"))</f>
        <v/>
      </c>
      <c r="J56" s="50" t="str">
        <f>IF($A56="","",COUNTIFS(Tracker!$E$6:$E$65,$A56,Tracker!$Z$6:$Z$65,"Amber"))</f>
        <v/>
      </c>
      <c r="K56" s="50" t="str">
        <f>IF($A56="","",COUNTIFS(Tracker!$E$6:$E$65,$A56,Tracker!$Z$6:$Z$65,"Red"))</f>
        <v/>
      </c>
      <c r="L56" s="51" t="str">
        <f t="shared" si="2"/>
        <v/>
      </c>
      <c r="M56" s="29" t="str">
        <f t="shared" si="3"/>
        <v/>
      </c>
      <c r="N56" s="15" t="str">
        <f>IF($A56="","",IF(C56="Not found","Check company ID",IF(COUNTIF(Setup!$A$13:$A$27,D56)=0,"Check department",IF(G56+H56=0,"No measure","OK"))))</f>
        <v/>
      </c>
      <c r="O56" s="63" t="str">
        <f>IF(OR($A56="",$D56&lt;&gt;'Department view'!$C$4),"",COUNTIF($D$6:$D56,'Department view'!$C$4))</f>
        <v/>
      </c>
    </row>
    <row r="57" spans="1:15" x14ac:dyDescent="0.45">
      <c r="A57" s="20"/>
      <c r="B57" s="20"/>
      <c r="C57" s="15" t="str">
        <f>IF(B57="","",IFERROR(INDEX(Strategy!$C$6:$C$15,MATCH(B57,Strategy!$A$6:$A$15,0)),"Not found"))</f>
        <v/>
      </c>
      <c r="D57" s="20"/>
      <c r="E57" s="20"/>
      <c r="F57" s="20"/>
      <c r="G57" s="50" t="str">
        <f>IF($A57="","",COUNTIFS(Measures!$E$6:$E$65,$A57,Measures!$B$6:$B$65,"KPI"))</f>
        <v/>
      </c>
      <c r="H57" s="50" t="str">
        <f>IF($A57="","",COUNTIFS(Measures!$E$6:$E$65,$A57,Measures!$B$6:$B$65,"KRI"))</f>
        <v/>
      </c>
      <c r="I57" s="50" t="str">
        <f>IF($A57="","",COUNTIFS(Tracker!$E$6:$E$65,$A57,Tracker!$Z$6:$Z$65,"Green"))</f>
        <v/>
      </c>
      <c r="J57" s="50" t="str">
        <f>IF($A57="","",COUNTIFS(Tracker!$E$6:$E$65,$A57,Tracker!$Z$6:$Z$65,"Amber"))</f>
        <v/>
      </c>
      <c r="K57" s="50" t="str">
        <f>IF($A57="","",COUNTIFS(Tracker!$E$6:$E$65,$A57,Tracker!$Z$6:$Z$65,"Red"))</f>
        <v/>
      </c>
      <c r="L57" s="51" t="str">
        <f t="shared" si="2"/>
        <v/>
      </c>
      <c r="M57" s="29" t="str">
        <f t="shared" si="3"/>
        <v/>
      </c>
      <c r="N57" s="15" t="str">
        <f>IF($A57="","",IF(C57="Not found","Check company ID",IF(COUNTIF(Setup!$A$13:$A$27,D57)=0,"Check department",IF(G57+H57=0,"No measure","OK"))))</f>
        <v/>
      </c>
      <c r="O57" s="63" t="str">
        <f>IF(OR($A57="",$D57&lt;&gt;'Department view'!$C$4),"",COUNTIF($D$6:$D57,'Department view'!$C$4))</f>
        <v/>
      </c>
    </row>
    <row r="58" spans="1:15" x14ac:dyDescent="0.45">
      <c r="A58" s="20"/>
      <c r="B58" s="20"/>
      <c r="C58" s="15" t="str">
        <f>IF(B58="","",IFERROR(INDEX(Strategy!$C$6:$C$15,MATCH(B58,Strategy!$A$6:$A$15,0)),"Not found"))</f>
        <v/>
      </c>
      <c r="D58" s="20"/>
      <c r="E58" s="20"/>
      <c r="F58" s="20"/>
      <c r="G58" s="50" t="str">
        <f>IF($A58="","",COUNTIFS(Measures!$E$6:$E$65,$A58,Measures!$B$6:$B$65,"KPI"))</f>
        <v/>
      </c>
      <c r="H58" s="50" t="str">
        <f>IF($A58="","",COUNTIFS(Measures!$E$6:$E$65,$A58,Measures!$B$6:$B$65,"KRI"))</f>
        <v/>
      </c>
      <c r="I58" s="50" t="str">
        <f>IF($A58="","",COUNTIFS(Tracker!$E$6:$E$65,$A58,Tracker!$Z$6:$Z$65,"Green"))</f>
        <v/>
      </c>
      <c r="J58" s="50" t="str">
        <f>IF($A58="","",COUNTIFS(Tracker!$E$6:$E$65,$A58,Tracker!$Z$6:$Z$65,"Amber"))</f>
        <v/>
      </c>
      <c r="K58" s="50" t="str">
        <f>IF($A58="","",COUNTIFS(Tracker!$E$6:$E$65,$A58,Tracker!$Z$6:$Z$65,"Red"))</f>
        <v/>
      </c>
      <c r="L58" s="51" t="str">
        <f t="shared" si="2"/>
        <v/>
      </c>
      <c r="M58" s="29" t="str">
        <f t="shared" si="3"/>
        <v/>
      </c>
      <c r="N58" s="15" t="str">
        <f>IF($A58="","",IF(C58="Not found","Check company ID",IF(COUNTIF(Setup!$A$13:$A$27,D58)=0,"Check department",IF(G58+H58=0,"No measure","OK"))))</f>
        <v/>
      </c>
      <c r="O58" s="63" t="str">
        <f>IF(OR($A58="",$D58&lt;&gt;'Department view'!$C$4),"",COUNTIF($D$6:$D58,'Department view'!$C$4))</f>
        <v/>
      </c>
    </row>
    <row r="59" spans="1:15" x14ac:dyDescent="0.45">
      <c r="A59" s="20"/>
      <c r="B59" s="20"/>
      <c r="C59" s="15" t="str">
        <f>IF(B59="","",IFERROR(INDEX(Strategy!$C$6:$C$15,MATCH(B59,Strategy!$A$6:$A$15,0)),"Not found"))</f>
        <v/>
      </c>
      <c r="D59" s="20"/>
      <c r="E59" s="20"/>
      <c r="F59" s="20"/>
      <c r="G59" s="50" t="str">
        <f>IF($A59="","",COUNTIFS(Measures!$E$6:$E$65,$A59,Measures!$B$6:$B$65,"KPI"))</f>
        <v/>
      </c>
      <c r="H59" s="50" t="str">
        <f>IF($A59="","",COUNTIFS(Measures!$E$6:$E$65,$A59,Measures!$B$6:$B$65,"KRI"))</f>
        <v/>
      </c>
      <c r="I59" s="50" t="str">
        <f>IF($A59="","",COUNTIFS(Tracker!$E$6:$E$65,$A59,Tracker!$Z$6:$Z$65,"Green"))</f>
        <v/>
      </c>
      <c r="J59" s="50" t="str">
        <f>IF($A59="","",COUNTIFS(Tracker!$E$6:$E$65,$A59,Tracker!$Z$6:$Z$65,"Amber"))</f>
        <v/>
      </c>
      <c r="K59" s="50" t="str">
        <f>IF($A59="","",COUNTIFS(Tracker!$E$6:$E$65,$A59,Tracker!$Z$6:$Z$65,"Red"))</f>
        <v/>
      </c>
      <c r="L59" s="51" t="str">
        <f t="shared" si="2"/>
        <v/>
      </c>
      <c r="M59" s="29" t="str">
        <f t="shared" si="3"/>
        <v/>
      </c>
      <c r="N59" s="15" t="str">
        <f>IF($A59="","",IF(C59="Not found","Check company ID",IF(COUNTIF(Setup!$A$13:$A$27,D59)=0,"Check department",IF(G59+H59=0,"No measure","OK"))))</f>
        <v/>
      </c>
      <c r="O59" s="63" t="str">
        <f>IF(OR($A59="",$D59&lt;&gt;'Department view'!$C$4),"",COUNTIF($D$6:$D59,'Department view'!$C$4))</f>
        <v/>
      </c>
    </row>
    <row r="60" spans="1:15" x14ac:dyDescent="0.45">
      <c r="A60" s="20"/>
      <c r="B60" s="20"/>
      <c r="C60" s="15" t="str">
        <f>IF(B60="","",IFERROR(INDEX(Strategy!$C$6:$C$15,MATCH(B60,Strategy!$A$6:$A$15,0)),"Not found"))</f>
        <v/>
      </c>
      <c r="D60" s="20"/>
      <c r="E60" s="20"/>
      <c r="F60" s="20"/>
      <c r="G60" s="50" t="str">
        <f>IF($A60="","",COUNTIFS(Measures!$E$6:$E$65,$A60,Measures!$B$6:$B$65,"KPI"))</f>
        <v/>
      </c>
      <c r="H60" s="50" t="str">
        <f>IF($A60="","",COUNTIFS(Measures!$E$6:$E$65,$A60,Measures!$B$6:$B$65,"KRI"))</f>
        <v/>
      </c>
      <c r="I60" s="50" t="str">
        <f>IF($A60="","",COUNTIFS(Tracker!$E$6:$E$65,$A60,Tracker!$Z$6:$Z$65,"Green"))</f>
        <v/>
      </c>
      <c r="J60" s="50" t="str">
        <f>IF($A60="","",COUNTIFS(Tracker!$E$6:$E$65,$A60,Tracker!$Z$6:$Z$65,"Amber"))</f>
        <v/>
      </c>
      <c r="K60" s="50" t="str">
        <f>IF($A60="","",COUNTIFS(Tracker!$E$6:$E$65,$A60,Tracker!$Z$6:$Z$65,"Red"))</f>
        <v/>
      </c>
      <c r="L60" s="51" t="str">
        <f t="shared" si="2"/>
        <v/>
      </c>
      <c r="M60" s="29" t="str">
        <f t="shared" si="3"/>
        <v/>
      </c>
      <c r="N60" s="15" t="str">
        <f>IF($A60="","",IF(C60="Not found","Check company ID",IF(COUNTIF(Setup!$A$13:$A$27,D60)=0,"Check department",IF(G60+H60=0,"No measure","OK"))))</f>
        <v/>
      </c>
      <c r="O60" s="63" t="str">
        <f>IF(OR($A60="",$D60&lt;&gt;'Department view'!$C$4),"",COUNTIF($D$6:$D60,'Department view'!$C$4))</f>
        <v/>
      </c>
    </row>
    <row r="61" spans="1:15" x14ac:dyDescent="0.45">
      <c r="A61" s="20"/>
      <c r="B61" s="20"/>
      <c r="C61" s="15" t="str">
        <f>IF(B61="","",IFERROR(INDEX(Strategy!$C$6:$C$15,MATCH(B61,Strategy!$A$6:$A$15,0)),"Not found"))</f>
        <v/>
      </c>
      <c r="D61" s="20"/>
      <c r="E61" s="20"/>
      <c r="F61" s="20"/>
      <c r="G61" s="50" t="str">
        <f>IF($A61="","",COUNTIFS(Measures!$E$6:$E$65,$A61,Measures!$B$6:$B$65,"KPI"))</f>
        <v/>
      </c>
      <c r="H61" s="50" t="str">
        <f>IF($A61="","",COUNTIFS(Measures!$E$6:$E$65,$A61,Measures!$B$6:$B$65,"KRI"))</f>
        <v/>
      </c>
      <c r="I61" s="50" t="str">
        <f>IF($A61="","",COUNTIFS(Tracker!$E$6:$E$65,$A61,Tracker!$Z$6:$Z$65,"Green"))</f>
        <v/>
      </c>
      <c r="J61" s="50" t="str">
        <f>IF($A61="","",COUNTIFS(Tracker!$E$6:$E$65,$A61,Tracker!$Z$6:$Z$65,"Amber"))</f>
        <v/>
      </c>
      <c r="K61" s="50" t="str">
        <f>IF($A61="","",COUNTIFS(Tracker!$E$6:$E$65,$A61,Tracker!$Z$6:$Z$65,"Red"))</f>
        <v/>
      </c>
      <c r="L61" s="51" t="str">
        <f t="shared" si="2"/>
        <v/>
      </c>
      <c r="M61" s="29" t="str">
        <f t="shared" si="3"/>
        <v/>
      </c>
      <c r="N61" s="15" t="str">
        <f>IF($A61="","",IF(C61="Not found","Check company ID",IF(COUNTIF(Setup!$A$13:$A$27,D61)=0,"Check department",IF(G61+H61=0,"No measure","OK"))))</f>
        <v/>
      </c>
      <c r="O61" s="63" t="str">
        <f>IF(OR($A61="",$D61&lt;&gt;'Department view'!$C$4),"",COUNTIF($D$6:$D61,'Department view'!$C$4))</f>
        <v/>
      </c>
    </row>
    <row r="62" spans="1:15" x14ac:dyDescent="0.45">
      <c r="A62" s="20"/>
      <c r="B62" s="20"/>
      <c r="C62" s="15" t="str">
        <f>IF(B62="","",IFERROR(INDEX(Strategy!$C$6:$C$15,MATCH(B62,Strategy!$A$6:$A$15,0)),"Not found"))</f>
        <v/>
      </c>
      <c r="D62" s="20"/>
      <c r="E62" s="20"/>
      <c r="F62" s="20"/>
      <c r="G62" s="50" t="str">
        <f>IF($A62="","",COUNTIFS(Measures!$E$6:$E$65,$A62,Measures!$B$6:$B$65,"KPI"))</f>
        <v/>
      </c>
      <c r="H62" s="50" t="str">
        <f>IF($A62="","",COUNTIFS(Measures!$E$6:$E$65,$A62,Measures!$B$6:$B$65,"KRI"))</f>
        <v/>
      </c>
      <c r="I62" s="50" t="str">
        <f>IF($A62="","",COUNTIFS(Tracker!$E$6:$E$65,$A62,Tracker!$Z$6:$Z$65,"Green"))</f>
        <v/>
      </c>
      <c r="J62" s="50" t="str">
        <f>IF($A62="","",COUNTIFS(Tracker!$E$6:$E$65,$A62,Tracker!$Z$6:$Z$65,"Amber"))</f>
        <v/>
      </c>
      <c r="K62" s="50" t="str">
        <f>IF($A62="","",COUNTIFS(Tracker!$E$6:$E$65,$A62,Tracker!$Z$6:$Z$65,"Red"))</f>
        <v/>
      </c>
      <c r="L62" s="51" t="str">
        <f t="shared" si="2"/>
        <v/>
      </c>
      <c r="M62" s="29" t="str">
        <f t="shared" si="3"/>
        <v/>
      </c>
      <c r="N62" s="15" t="str">
        <f>IF($A62="","",IF(C62="Not found","Check company ID",IF(COUNTIF(Setup!$A$13:$A$27,D62)=0,"Check department",IF(G62+H62=0,"No measure","OK"))))</f>
        <v/>
      </c>
      <c r="O62" s="63" t="str">
        <f>IF(OR($A62="",$D62&lt;&gt;'Department view'!$C$4),"",COUNTIF($D$6:$D62,'Department view'!$C$4))</f>
        <v/>
      </c>
    </row>
    <row r="63" spans="1:15" x14ac:dyDescent="0.45">
      <c r="A63" s="20"/>
      <c r="B63" s="20"/>
      <c r="C63" s="15" t="str">
        <f>IF(B63="","",IFERROR(INDEX(Strategy!$C$6:$C$15,MATCH(B63,Strategy!$A$6:$A$15,0)),"Not found"))</f>
        <v/>
      </c>
      <c r="D63" s="20"/>
      <c r="E63" s="20"/>
      <c r="F63" s="20"/>
      <c r="G63" s="50" t="str">
        <f>IF($A63="","",COUNTIFS(Measures!$E$6:$E$65,$A63,Measures!$B$6:$B$65,"KPI"))</f>
        <v/>
      </c>
      <c r="H63" s="50" t="str">
        <f>IF($A63="","",COUNTIFS(Measures!$E$6:$E$65,$A63,Measures!$B$6:$B$65,"KRI"))</f>
        <v/>
      </c>
      <c r="I63" s="50" t="str">
        <f>IF($A63="","",COUNTIFS(Tracker!$E$6:$E$65,$A63,Tracker!$Z$6:$Z$65,"Green"))</f>
        <v/>
      </c>
      <c r="J63" s="50" t="str">
        <f>IF($A63="","",COUNTIFS(Tracker!$E$6:$E$65,$A63,Tracker!$Z$6:$Z$65,"Amber"))</f>
        <v/>
      </c>
      <c r="K63" s="50" t="str">
        <f>IF($A63="","",COUNTIFS(Tracker!$E$6:$E$65,$A63,Tracker!$Z$6:$Z$65,"Red"))</f>
        <v/>
      </c>
      <c r="L63" s="51" t="str">
        <f t="shared" si="2"/>
        <v/>
      </c>
      <c r="M63" s="29" t="str">
        <f t="shared" si="3"/>
        <v/>
      </c>
      <c r="N63" s="15" t="str">
        <f>IF($A63="","",IF(C63="Not found","Check company ID",IF(COUNTIF(Setup!$A$13:$A$27,D63)=0,"Check department",IF(G63+H63=0,"No measure","OK"))))</f>
        <v/>
      </c>
      <c r="O63" s="63" t="str">
        <f>IF(OR($A63="",$D63&lt;&gt;'Department view'!$C$4),"",COUNTIF($D$6:$D63,'Department view'!$C$4))</f>
        <v/>
      </c>
    </row>
    <row r="64" spans="1:15" x14ac:dyDescent="0.45">
      <c r="A64" s="20"/>
      <c r="B64" s="20"/>
      <c r="C64" s="15" t="str">
        <f>IF(B64="","",IFERROR(INDEX(Strategy!$C$6:$C$15,MATCH(B64,Strategy!$A$6:$A$15,0)),"Not found"))</f>
        <v/>
      </c>
      <c r="D64" s="20"/>
      <c r="E64" s="20"/>
      <c r="F64" s="20"/>
      <c r="G64" s="50" t="str">
        <f>IF($A64="","",COUNTIFS(Measures!$E$6:$E$65,$A64,Measures!$B$6:$B$65,"KPI"))</f>
        <v/>
      </c>
      <c r="H64" s="50" t="str">
        <f>IF($A64="","",COUNTIFS(Measures!$E$6:$E$65,$A64,Measures!$B$6:$B$65,"KRI"))</f>
        <v/>
      </c>
      <c r="I64" s="50" t="str">
        <f>IF($A64="","",COUNTIFS(Tracker!$E$6:$E$65,$A64,Tracker!$Z$6:$Z$65,"Green"))</f>
        <v/>
      </c>
      <c r="J64" s="50" t="str">
        <f>IF($A64="","",COUNTIFS(Tracker!$E$6:$E$65,$A64,Tracker!$Z$6:$Z$65,"Amber"))</f>
        <v/>
      </c>
      <c r="K64" s="50" t="str">
        <f>IF($A64="","",COUNTIFS(Tracker!$E$6:$E$65,$A64,Tracker!$Z$6:$Z$65,"Red"))</f>
        <v/>
      </c>
      <c r="L64" s="51" t="str">
        <f t="shared" si="2"/>
        <v/>
      </c>
      <c r="M64" s="29" t="str">
        <f t="shared" si="3"/>
        <v/>
      </c>
      <c r="N64" s="15" t="str">
        <f>IF($A64="","",IF(C64="Not found","Check company ID",IF(COUNTIF(Setup!$A$13:$A$27,D64)=0,"Check department",IF(G64+H64=0,"No measure","OK"))))</f>
        <v/>
      </c>
      <c r="O64" s="63" t="str">
        <f>IF(OR($A64="",$D64&lt;&gt;'Department view'!$C$4),"",COUNTIF($D$6:$D64,'Department view'!$C$4))</f>
        <v/>
      </c>
    </row>
    <row r="65" spans="1:15" x14ac:dyDescent="0.45">
      <c r="A65" s="20"/>
      <c r="B65" s="20"/>
      <c r="C65" s="15" t="str">
        <f>IF(B65="","",IFERROR(INDEX(Strategy!$C$6:$C$15,MATCH(B65,Strategy!$A$6:$A$15,0)),"Not found"))</f>
        <v/>
      </c>
      <c r="D65" s="20"/>
      <c r="E65" s="20"/>
      <c r="F65" s="20"/>
      <c r="G65" s="50" t="str">
        <f>IF($A65="","",COUNTIFS(Measures!$E$6:$E$65,$A65,Measures!$B$6:$B$65,"KPI"))</f>
        <v/>
      </c>
      <c r="H65" s="50" t="str">
        <f>IF($A65="","",COUNTIFS(Measures!$E$6:$E$65,$A65,Measures!$B$6:$B$65,"KRI"))</f>
        <v/>
      </c>
      <c r="I65" s="50" t="str">
        <f>IF($A65="","",COUNTIFS(Tracker!$E$6:$E$65,$A65,Tracker!$Z$6:$Z$65,"Green"))</f>
        <v/>
      </c>
      <c r="J65" s="50" t="str">
        <f>IF($A65="","",COUNTIFS(Tracker!$E$6:$E$65,$A65,Tracker!$Z$6:$Z$65,"Amber"))</f>
        <v/>
      </c>
      <c r="K65" s="50" t="str">
        <f>IF($A65="","",COUNTIFS(Tracker!$E$6:$E$65,$A65,Tracker!$Z$6:$Z$65,"Red"))</f>
        <v/>
      </c>
      <c r="L65" s="51" t="str">
        <f t="shared" si="2"/>
        <v/>
      </c>
      <c r="M65" s="29" t="str">
        <f t="shared" si="3"/>
        <v/>
      </c>
      <c r="N65" s="15" t="str">
        <f>IF($A65="","",IF(C65="Not found","Check company ID",IF(COUNTIF(Setup!$A$13:$A$27,D65)=0,"Check department",IF(G65+H65=0,"No measure","OK"))))</f>
        <v/>
      </c>
      <c r="O65" s="63" t="str">
        <f>IF(OR($A65="",$D65&lt;&gt;'Department view'!$C$4),"",COUNTIF($D$6:$D65,'Department view'!$C$4))</f>
        <v/>
      </c>
    </row>
  </sheetData>
  <conditionalFormatting sqref="M6:M65">
    <cfRule type="cellIs" dxfId="36" priority="2" operator="equal">
      <formula>"On track"</formula>
    </cfRule>
    <cfRule type="cellIs" dxfId="35" priority="3" operator="equal">
      <formula>"Watch"</formula>
    </cfRule>
    <cfRule type="cellIs" dxfId="34" priority="4" operator="equal">
      <formula>"Off track"</formula>
    </cfRule>
  </conditionalFormatting>
  <conditionalFormatting sqref="N6:N65">
    <cfRule type="expression" dxfId="33" priority="5">
      <formula>AND(N6&lt;&gt;"",N6&lt;&gt;"OK")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="Pick a value from the list." xr:uid="{00000000-0002-0000-0500-000000000000}">
          <x14:formula1>
            <xm:f>Strategy!$A$6:$A$15</xm:f>
          </x14:formula1>
          <x14:formula2>
            <xm:f>0</xm:f>
          </x14:formula2>
          <xm:sqref>B6:B65</xm:sqref>
        </x14:dataValidation>
        <x14:dataValidation type="list" allowBlank="1" showErrorMessage="1" error="Pick a value from the list." xr:uid="{00000000-0002-0000-0500-000001000000}">
          <x14:formula1>
            <xm:f>Setup!$A$13:$A$27</xm:f>
          </x14:formula1>
          <x14:formula2>
            <xm:f>0</xm:f>
          </x14:formula2>
          <xm:sqref>D6:D65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3B2F"/>
  </sheetPr>
  <dimension ref="A1:R65"/>
  <sheetViews>
    <sheetView showGridLines="0" zoomScaleNormal="100" workbookViewId="0">
      <pane xSplit="3" ySplit="5" topLeftCell="K6" activePane="bottomRight" state="frozen"/>
      <selection pane="topRight" activeCell="D1" sqref="D1"/>
      <selection pane="bottomLeft" activeCell="A6" sqref="A6"/>
      <selection pane="bottomRight" activeCell="Q8" sqref="Q8"/>
    </sheetView>
  </sheetViews>
  <sheetFormatPr defaultColWidth="8.6640625" defaultRowHeight="14.25" x14ac:dyDescent="0.45"/>
  <cols>
    <col min="1" max="2" width="7" customWidth="1"/>
    <col min="3" max="3" width="30" customWidth="1"/>
    <col min="4" max="4" width="38" customWidth="1"/>
    <col min="5" max="5" width="11" customWidth="1"/>
    <col min="6" max="6" width="20" customWidth="1"/>
    <col min="7" max="8" width="10" customWidth="1"/>
    <col min="9" max="10" width="9" customWidth="1"/>
    <col min="11" max="11" width="13" customWidth="1"/>
    <col min="12" max="12" width="15" customWidth="1"/>
    <col min="13" max="13" width="11" customWidth="1"/>
    <col min="14" max="14" width="18" customWidth="1"/>
    <col min="15" max="15" width="20" customWidth="1"/>
    <col min="16" max="16" width="18" customWidth="1"/>
    <col min="17" max="17" width="34" customWidth="1"/>
    <col min="18" max="18" width="16" customWidth="1"/>
  </cols>
  <sheetData>
    <row r="1" spans="1:18" ht="20.65" x14ac:dyDescent="0.6">
      <c r="A1" s="11" t="s">
        <v>179</v>
      </c>
    </row>
    <row r="2" spans="1:18" x14ac:dyDescent="0.45">
      <c r="A2" s="12" t="s">
        <v>180</v>
      </c>
    </row>
    <row r="5" spans="1:18" ht="30" customHeight="1" x14ac:dyDescent="0.45">
      <c r="A5" s="33" t="s">
        <v>55</v>
      </c>
      <c r="B5" s="33" t="s">
        <v>83</v>
      </c>
      <c r="C5" s="33" t="s">
        <v>82</v>
      </c>
      <c r="D5" s="33" t="s">
        <v>181</v>
      </c>
      <c r="E5" s="33" t="s">
        <v>155</v>
      </c>
      <c r="F5" s="33" t="s">
        <v>59</v>
      </c>
      <c r="G5" s="33" t="s">
        <v>127</v>
      </c>
      <c r="H5" s="33" t="s">
        <v>182</v>
      </c>
      <c r="I5" s="33" t="s">
        <v>183</v>
      </c>
      <c r="J5" s="33" t="s">
        <v>35</v>
      </c>
      <c r="K5" s="33" t="s">
        <v>184</v>
      </c>
      <c r="L5" s="33" t="s">
        <v>185</v>
      </c>
      <c r="M5" s="33" t="s">
        <v>186</v>
      </c>
      <c r="N5" s="33" t="s">
        <v>187</v>
      </c>
      <c r="O5" s="33" t="s">
        <v>87</v>
      </c>
      <c r="P5" s="33" t="s">
        <v>188</v>
      </c>
      <c r="Q5" s="33" t="s">
        <v>189</v>
      </c>
      <c r="R5" s="33" t="s">
        <v>156</v>
      </c>
    </row>
    <row r="6" spans="1:18" x14ac:dyDescent="0.45">
      <c r="A6" s="20" t="s">
        <v>190</v>
      </c>
      <c r="B6" s="20" t="s">
        <v>191</v>
      </c>
      <c r="C6" s="20" t="s">
        <v>192</v>
      </c>
      <c r="D6" s="20" t="s">
        <v>193</v>
      </c>
      <c r="E6" s="20" t="s">
        <v>158</v>
      </c>
      <c r="F6" s="15" t="str">
        <f>IF(E6="","",IFERROR(INDEX(Cascade!$D$6:$D$65,MATCH(E6,Cascade!$A$6:$A$65,0)),"Not found"))</f>
        <v>Sales and e-commerce</v>
      </c>
      <c r="G6" s="15" t="str">
        <f>IF(E6="","",IFERROR(INDEX(Cascade!$B$6:$B$65,MATCH(E6,Cascade!$A$6:$A$65,0)),"Not found"))</f>
        <v>C1</v>
      </c>
      <c r="H6" s="20" t="s">
        <v>194</v>
      </c>
      <c r="I6" s="20" t="s">
        <v>195</v>
      </c>
      <c r="J6" s="20" t="s">
        <v>196</v>
      </c>
      <c r="K6" s="64">
        <v>0.2</v>
      </c>
      <c r="L6" s="64">
        <v>0.17</v>
      </c>
      <c r="M6" s="20" t="s">
        <v>197</v>
      </c>
      <c r="N6" s="20" t="s">
        <v>198</v>
      </c>
      <c r="O6" s="20" t="s">
        <v>160</v>
      </c>
      <c r="P6" s="20"/>
      <c r="Q6" s="20"/>
      <c r="R6" s="15" t="str">
        <f t="shared" ref="R6:R37" si="0">IF(A6="","",IF(COUNTIF($A$6:$A$65,A6)&gt;1,"Duplicate ID",IF(OR(F6="Not found",E6=""),"Check objective",IF(OR(K6="",L6=""),"Set limits",IF(OR(AND(J6="Higher",K6&lt;L6),AND(J6="Lower",K6&gt;L6)),"Limits wrong way",IF(AND(B6="KRI",Q6=""),"Add red action","OK"))))))</f>
        <v>OK</v>
      </c>
    </row>
    <row r="7" spans="1:18" x14ac:dyDescent="0.45">
      <c r="A7" s="20" t="s">
        <v>199</v>
      </c>
      <c r="B7" s="20" t="s">
        <v>191</v>
      </c>
      <c r="C7" s="20" t="s">
        <v>200</v>
      </c>
      <c r="D7" s="20" t="s">
        <v>201</v>
      </c>
      <c r="E7" s="20" t="s">
        <v>158</v>
      </c>
      <c r="F7" s="15" t="str">
        <f>IF(E7="","",IFERROR(INDEX(Cascade!$D$6:$D$65,MATCH(E7,Cascade!$A$6:$A$65,0)),"Not found"))</f>
        <v>Sales and e-commerce</v>
      </c>
      <c r="G7" s="15" t="str">
        <f>IF(E7="","",IFERROR(INDEX(Cascade!$B$6:$B$65,MATCH(E7,Cascade!$A$6:$A$65,0)),"Not found"))</f>
        <v>C1</v>
      </c>
      <c r="H7" s="20" t="s">
        <v>202</v>
      </c>
      <c r="I7" s="20" t="s">
        <v>195</v>
      </c>
      <c r="J7" s="20" t="s">
        <v>196</v>
      </c>
      <c r="K7" s="64">
        <v>2.5000000000000001E-2</v>
      </c>
      <c r="L7" s="64">
        <v>2.1000000000000001E-2</v>
      </c>
      <c r="M7" s="20" t="s">
        <v>203</v>
      </c>
      <c r="N7" s="20" t="s">
        <v>204</v>
      </c>
      <c r="O7" s="20" t="s">
        <v>160</v>
      </c>
      <c r="P7" s="20"/>
      <c r="Q7" s="20"/>
      <c r="R7" s="15" t="str">
        <f t="shared" si="0"/>
        <v>OK</v>
      </c>
    </row>
    <row r="8" spans="1:18" ht="25.5" x14ac:dyDescent="0.45">
      <c r="A8" s="20" t="s">
        <v>205</v>
      </c>
      <c r="B8" s="20" t="s">
        <v>206</v>
      </c>
      <c r="C8" s="20" t="s">
        <v>207</v>
      </c>
      <c r="D8" s="20" t="s">
        <v>208</v>
      </c>
      <c r="E8" s="20" t="s">
        <v>158</v>
      </c>
      <c r="F8" s="15" t="str">
        <f>IF(E8="","",IFERROR(INDEX(Cascade!$D$6:$D$65,MATCH(E8,Cascade!$A$6:$A$65,0)),"Not found"))</f>
        <v>Sales and e-commerce</v>
      </c>
      <c r="G8" s="15" t="str">
        <f>IF(E8="","",IFERROR(INDEX(Cascade!$B$6:$B$65,MATCH(E8,Cascade!$A$6:$A$65,0)),"Not found"))</f>
        <v>C1</v>
      </c>
      <c r="H8" s="20" t="s">
        <v>202</v>
      </c>
      <c r="I8" s="20" t="s">
        <v>195</v>
      </c>
      <c r="J8" s="20" t="s">
        <v>209</v>
      </c>
      <c r="K8" s="64">
        <v>0.04</v>
      </c>
      <c r="L8" s="64">
        <v>0.06</v>
      </c>
      <c r="M8" s="20" t="s">
        <v>197</v>
      </c>
      <c r="N8" s="20" t="s">
        <v>210</v>
      </c>
      <c r="O8" s="20" t="s">
        <v>160</v>
      </c>
      <c r="P8" s="20" t="s">
        <v>110</v>
      </c>
      <c r="Q8" s="20" t="s">
        <v>211</v>
      </c>
      <c r="R8" s="15" t="str">
        <f t="shared" si="0"/>
        <v>OK</v>
      </c>
    </row>
    <row r="9" spans="1:18" ht="25.5" x14ac:dyDescent="0.45">
      <c r="A9" s="20" t="s">
        <v>212</v>
      </c>
      <c r="B9" s="20" t="s">
        <v>191</v>
      </c>
      <c r="C9" s="20" t="s">
        <v>213</v>
      </c>
      <c r="D9" s="20" t="s">
        <v>214</v>
      </c>
      <c r="E9" s="20" t="s">
        <v>161</v>
      </c>
      <c r="F9" s="15" t="str">
        <f>IF(E9="","",IFERROR(INDEX(Cascade!$D$6:$D$65,MATCH(E9,Cascade!$A$6:$A$65,0)),"Not found"))</f>
        <v>Sales and e-commerce</v>
      </c>
      <c r="G9" s="15" t="str">
        <f>IF(E9="","",IFERROR(INDEX(Cascade!$B$6:$B$65,MATCH(E9,Cascade!$A$6:$A$65,0)),"Not found"))</f>
        <v>C1</v>
      </c>
      <c r="H9" s="20" t="s">
        <v>194</v>
      </c>
      <c r="I9" s="20" t="s">
        <v>195</v>
      </c>
      <c r="J9" s="20" t="s">
        <v>196</v>
      </c>
      <c r="K9" s="64">
        <v>0.06</v>
      </c>
      <c r="L9" s="64">
        <v>0.03</v>
      </c>
      <c r="M9" s="20" t="s">
        <v>197</v>
      </c>
      <c r="N9" s="20" t="s">
        <v>198</v>
      </c>
      <c r="O9" s="20" t="s">
        <v>163</v>
      </c>
      <c r="P9" s="20"/>
      <c r="Q9" s="20"/>
      <c r="R9" s="15" t="str">
        <f t="shared" si="0"/>
        <v>OK</v>
      </c>
    </row>
    <row r="10" spans="1:18" x14ac:dyDescent="0.45">
      <c r="A10" s="20" t="s">
        <v>215</v>
      </c>
      <c r="B10" s="20" t="s">
        <v>191</v>
      </c>
      <c r="C10" s="20" t="s">
        <v>216</v>
      </c>
      <c r="D10" s="20" t="s">
        <v>217</v>
      </c>
      <c r="E10" s="20" t="s">
        <v>161</v>
      </c>
      <c r="F10" s="15" t="str">
        <f>IF(E10="","",IFERROR(INDEX(Cascade!$D$6:$D$65,MATCH(E10,Cascade!$A$6:$A$65,0)),"Not found"))</f>
        <v>Sales and e-commerce</v>
      </c>
      <c r="G10" s="15" t="str">
        <f>IF(E10="","",IFERROR(INDEX(Cascade!$B$6:$B$65,MATCH(E10,Cascade!$A$6:$A$65,0)),"Not found"))</f>
        <v>C1</v>
      </c>
      <c r="H10" s="20" t="s">
        <v>202</v>
      </c>
      <c r="I10" s="20" t="s">
        <v>218</v>
      </c>
      <c r="J10" s="20" t="s">
        <v>196</v>
      </c>
      <c r="K10" s="65">
        <v>85</v>
      </c>
      <c r="L10" s="65">
        <v>80</v>
      </c>
      <c r="M10" s="20" t="s">
        <v>197</v>
      </c>
      <c r="N10" s="20" t="s">
        <v>219</v>
      </c>
      <c r="O10" s="20" t="s">
        <v>163</v>
      </c>
      <c r="P10" s="20"/>
      <c r="Q10" s="20"/>
      <c r="R10" s="15" t="str">
        <f t="shared" si="0"/>
        <v>OK</v>
      </c>
    </row>
    <row r="11" spans="1:18" ht="25.5" x14ac:dyDescent="0.45">
      <c r="A11" s="20" t="s">
        <v>220</v>
      </c>
      <c r="B11" s="20" t="s">
        <v>191</v>
      </c>
      <c r="C11" s="20" t="s">
        <v>221</v>
      </c>
      <c r="D11" s="20" t="s">
        <v>222</v>
      </c>
      <c r="E11" s="20" t="s">
        <v>164</v>
      </c>
      <c r="F11" s="15" t="str">
        <f>IF(E11="","",IFERROR(INDEX(Cascade!$D$6:$D$65,MATCH(E11,Cascade!$A$6:$A$65,0)),"Not found"))</f>
        <v>Marketing and service</v>
      </c>
      <c r="G11" s="15" t="str">
        <f>IF(E11="","",IFERROR(INDEX(Cascade!$B$6:$B$65,MATCH(E11,Cascade!$A$6:$A$65,0)),"Not found"))</f>
        <v>C2</v>
      </c>
      <c r="H11" s="20" t="s">
        <v>202</v>
      </c>
      <c r="I11" s="20" t="s">
        <v>195</v>
      </c>
      <c r="J11" s="20" t="s">
        <v>196</v>
      </c>
      <c r="K11" s="64">
        <v>0.4</v>
      </c>
      <c r="L11" s="64">
        <v>0.35</v>
      </c>
      <c r="M11" s="20" t="s">
        <v>197</v>
      </c>
      <c r="N11" s="20" t="s">
        <v>223</v>
      </c>
      <c r="O11" s="20" t="s">
        <v>112</v>
      </c>
      <c r="P11" s="20"/>
      <c r="Q11" s="20"/>
      <c r="R11" s="15" t="str">
        <f t="shared" si="0"/>
        <v>OK</v>
      </c>
    </row>
    <row r="12" spans="1:18" ht="25.5" x14ac:dyDescent="0.45">
      <c r="A12" s="20" t="s">
        <v>224</v>
      </c>
      <c r="B12" s="20" t="s">
        <v>191</v>
      </c>
      <c r="C12" s="20" t="s">
        <v>225</v>
      </c>
      <c r="D12" s="20" t="s">
        <v>226</v>
      </c>
      <c r="E12" s="20" t="s">
        <v>164</v>
      </c>
      <c r="F12" s="15" t="str">
        <f>IF(E12="","",IFERROR(INDEX(Cascade!$D$6:$D$65,MATCH(E12,Cascade!$A$6:$A$65,0)),"Not found"))</f>
        <v>Marketing and service</v>
      </c>
      <c r="G12" s="15" t="str">
        <f>IF(E12="","",IFERROR(INDEX(Cascade!$B$6:$B$65,MATCH(E12,Cascade!$A$6:$A$65,0)),"Not found"))</f>
        <v>C2</v>
      </c>
      <c r="H12" s="20" t="s">
        <v>202</v>
      </c>
      <c r="I12" s="20" t="s">
        <v>37</v>
      </c>
      <c r="J12" s="20" t="s">
        <v>196</v>
      </c>
      <c r="K12" s="60">
        <v>40</v>
      </c>
      <c r="L12" s="60">
        <v>32</v>
      </c>
      <c r="M12" s="20" t="s">
        <v>197</v>
      </c>
      <c r="N12" s="20" t="s">
        <v>227</v>
      </c>
      <c r="O12" s="20" t="s">
        <v>168</v>
      </c>
      <c r="P12" s="20"/>
      <c r="Q12" s="20"/>
      <c r="R12" s="15" t="str">
        <f t="shared" si="0"/>
        <v>OK</v>
      </c>
    </row>
    <row r="13" spans="1:18" ht="25.5" x14ac:dyDescent="0.45">
      <c r="A13" s="20" t="s">
        <v>228</v>
      </c>
      <c r="B13" s="20" t="s">
        <v>191</v>
      </c>
      <c r="C13" s="20" t="s">
        <v>229</v>
      </c>
      <c r="D13" s="20" t="s">
        <v>230</v>
      </c>
      <c r="E13" s="20" t="s">
        <v>166</v>
      </c>
      <c r="F13" s="15" t="str">
        <f>IF(E13="","",IFERROR(INDEX(Cascade!$D$6:$D$65,MATCH(E13,Cascade!$A$6:$A$65,0)),"Not found"))</f>
        <v>Marketing and service</v>
      </c>
      <c r="G13" s="15" t="str">
        <f>IF(E13="","",IFERROR(INDEX(Cascade!$B$6:$B$65,MATCH(E13,Cascade!$A$6:$A$65,0)),"Not found"))</f>
        <v>C2</v>
      </c>
      <c r="H13" s="20" t="s">
        <v>202</v>
      </c>
      <c r="I13" s="20" t="s">
        <v>195</v>
      </c>
      <c r="J13" s="20" t="s">
        <v>196</v>
      </c>
      <c r="K13" s="64">
        <v>0.8</v>
      </c>
      <c r="L13" s="64">
        <v>0.72</v>
      </c>
      <c r="M13" s="20" t="s">
        <v>197</v>
      </c>
      <c r="N13" s="20" t="s">
        <v>231</v>
      </c>
      <c r="O13" s="20" t="s">
        <v>168</v>
      </c>
      <c r="P13" s="20"/>
      <c r="Q13" s="20"/>
      <c r="R13" s="15" t="str">
        <f t="shared" si="0"/>
        <v>OK</v>
      </c>
    </row>
    <row r="14" spans="1:18" ht="25.5" x14ac:dyDescent="0.45">
      <c r="A14" s="20" t="s">
        <v>232</v>
      </c>
      <c r="B14" s="20" t="s">
        <v>191</v>
      </c>
      <c r="C14" s="20" t="s">
        <v>233</v>
      </c>
      <c r="D14" s="20" t="s">
        <v>234</v>
      </c>
      <c r="E14" s="20" t="s">
        <v>169</v>
      </c>
      <c r="F14" s="15" t="str">
        <f>IF(E14="","",IFERROR(INDEX(Cascade!$D$6:$D$65,MATCH(E14,Cascade!$A$6:$A$65,0)),"Not found"))</f>
        <v>Supply chain</v>
      </c>
      <c r="G14" s="15" t="str">
        <f>IF(E14="","",IFERROR(INDEX(Cascade!$B$6:$B$65,MATCH(E14,Cascade!$A$6:$A$65,0)),"Not found"))</f>
        <v>C3</v>
      </c>
      <c r="H14" s="20" t="s">
        <v>202</v>
      </c>
      <c r="I14" s="20" t="s">
        <v>195</v>
      </c>
      <c r="J14" s="20" t="s">
        <v>196</v>
      </c>
      <c r="K14" s="64">
        <v>0.97</v>
      </c>
      <c r="L14" s="64">
        <v>0.95</v>
      </c>
      <c r="M14" s="20" t="s">
        <v>203</v>
      </c>
      <c r="N14" s="20" t="s">
        <v>235</v>
      </c>
      <c r="O14" s="20" t="s">
        <v>114</v>
      </c>
      <c r="P14" s="20"/>
      <c r="Q14" s="20"/>
      <c r="R14" s="15" t="str">
        <f t="shared" si="0"/>
        <v>OK</v>
      </c>
    </row>
    <row r="15" spans="1:18" ht="25.5" x14ac:dyDescent="0.45">
      <c r="A15" s="20" t="s">
        <v>236</v>
      </c>
      <c r="B15" s="20" t="s">
        <v>191</v>
      </c>
      <c r="C15" s="20" t="s">
        <v>237</v>
      </c>
      <c r="D15" s="20" t="s">
        <v>238</v>
      </c>
      <c r="E15" s="20" t="s">
        <v>169</v>
      </c>
      <c r="F15" s="15" t="str">
        <f>IF(E15="","",IFERROR(INDEX(Cascade!$D$6:$D$65,MATCH(E15,Cascade!$A$6:$A$65,0)),"Not found"))</f>
        <v>Supply chain</v>
      </c>
      <c r="G15" s="15" t="str">
        <f>IF(E15="","",IFERROR(INDEX(Cascade!$B$6:$B$65,MATCH(E15,Cascade!$A$6:$A$65,0)),"Not found"))</f>
        <v>C3</v>
      </c>
      <c r="H15" s="20" t="s">
        <v>194</v>
      </c>
      <c r="I15" s="20" t="s">
        <v>239</v>
      </c>
      <c r="J15" s="20" t="s">
        <v>209</v>
      </c>
      <c r="K15" s="60">
        <v>50</v>
      </c>
      <c r="L15" s="60">
        <v>56</v>
      </c>
      <c r="M15" s="20" t="s">
        <v>197</v>
      </c>
      <c r="N15" s="20" t="s">
        <v>240</v>
      </c>
      <c r="O15" s="20" t="s">
        <v>114</v>
      </c>
      <c r="P15" s="20"/>
      <c r="Q15" s="20"/>
      <c r="R15" s="15" t="str">
        <f t="shared" si="0"/>
        <v>OK</v>
      </c>
    </row>
    <row r="16" spans="1:18" ht="25.5" x14ac:dyDescent="0.45">
      <c r="A16" s="20" t="s">
        <v>241</v>
      </c>
      <c r="B16" s="20" t="s">
        <v>206</v>
      </c>
      <c r="C16" s="20" t="s">
        <v>242</v>
      </c>
      <c r="D16" s="20" t="s">
        <v>243</v>
      </c>
      <c r="E16" s="20" t="s">
        <v>169</v>
      </c>
      <c r="F16" s="15" t="str">
        <f>IF(E16="","",IFERROR(INDEX(Cascade!$D$6:$D$65,MATCH(E16,Cascade!$A$6:$A$65,0)),"Not found"))</f>
        <v>Supply chain</v>
      </c>
      <c r="G16" s="15" t="str">
        <f>IF(E16="","",IFERROR(INDEX(Cascade!$B$6:$B$65,MATCH(E16,Cascade!$A$6:$A$65,0)),"Not found"))</f>
        <v>C3</v>
      </c>
      <c r="H16" s="20" t="s">
        <v>202</v>
      </c>
      <c r="I16" s="20" t="s">
        <v>195</v>
      </c>
      <c r="J16" s="20" t="s">
        <v>209</v>
      </c>
      <c r="K16" s="64">
        <v>0.25</v>
      </c>
      <c r="L16" s="64">
        <v>0.35</v>
      </c>
      <c r="M16" s="20" t="s">
        <v>244</v>
      </c>
      <c r="N16" s="20" t="s">
        <v>245</v>
      </c>
      <c r="O16" s="20" t="s">
        <v>246</v>
      </c>
      <c r="P16" s="20" t="s">
        <v>115</v>
      </c>
      <c r="Q16" s="20" t="s">
        <v>247</v>
      </c>
      <c r="R16" s="15" t="str">
        <f t="shared" si="0"/>
        <v>OK</v>
      </c>
    </row>
    <row r="17" spans="1:18" ht="25.5" x14ac:dyDescent="0.45">
      <c r="A17" s="20" t="s">
        <v>248</v>
      </c>
      <c r="B17" s="20" t="s">
        <v>206</v>
      </c>
      <c r="C17" s="20" t="s">
        <v>249</v>
      </c>
      <c r="D17" s="20" t="s">
        <v>250</v>
      </c>
      <c r="E17" s="20" t="s">
        <v>169</v>
      </c>
      <c r="F17" s="15" t="str">
        <f>IF(E17="","",IFERROR(INDEX(Cascade!$D$6:$D$65,MATCH(E17,Cascade!$A$6:$A$65,0)),"Not found"))</f>
        <v>Supply chain</v>
      </c>
      <c r="G17" s="15" t="str">
        <f>IF(E17="","",IFERROR(INDEX(Cascade!$B$6:$B$65,MATCH(E17,Cascade!$A$6:$A$65,0)),"Not found"))</f>
        <v>C3</v>
      </c>
      <c r="H17" s="20" t="s">
        <v>202</v>
      </c>
      <c r="I17" s="20" t="s">
        <v>195</v>
      </c>
      <c r="J17" s="20" t="s">
        <v>209</v>
      </c>
      <c r="K17" s="64">
        <v>5.0000000000000001E-3</v>
      </c>
      <c r="L17" s="64">
        <v>8.0000000000000002E-3</v>
      </c>
      <c r="M17" s="20" t="s">
        <v>197</v>
      </c>
      <c r="N17" s="20" t="s">
        <v>240</v>
      </c>
      <c r="O17" s="20" t="s">
        <v>114</v>
      </c>
      <c r="P17" s="20" t="s">
        <v>115</v>
      </c>
      <c r="Q17" s="20" t="s">
        <v>251</v>
      </c>
      <c r="R17" s="15" t="str">
        <f t="shared" si="0"/>
        <v>OK</v>
      </c>
    </row>
    <row r="18" spans="1:18" ht="25.5" x14ac:dyDescent="0.45">
      <c r="A18" s="20" t="s">
        <v>252</v>
      </c>
      <c r="B18" s="20" t="s">
        <v>191</v>
      </c>
      <c r="C18" s="20" t="s">
        <v>253</v>
      </c>
      <c r="D18" s="20" t="s">
        <v>254</v>
      </c>
      <c r="E18" s="20" t="s">
        <v>171</v>
      </c>
      <c r="F18" s="15" t="str">
        <f>IF(E18="","",IFERROR(INDEX(Cascade!$D$6:$D$65,MATCH(E18,Cascade!$A$6:$A$65,0)),"Not found"))</f>
        <v>Finance</v>
      </c>
      <c r="G18" s="15" t="str">
        <f>IF(E18="","",IFERROR(INDEX(Cascade!$B$6:$B$65,MATCH(E18,Cascade!$A$6:$A$65,0)),"Not found"))</f>
        <v>C3</v>
      </c>
      <c r="H18" s="20" t="s">
        <v>194</v>
      </c>
      <c r="I18" s="20" t="s">
        <v>195</v>
      </c>
      <c r="J18" s="20" t="s">
        <v>196</v>
      </c>
      <c r="K18" s="64">
        <v>0.33</v>
      </c>
      <c r="L18" s="64">
        <v>0.315</v>
      </c>
      <c r="M18" s="20" t="s">
        <v>197</v>
      </c>
      <c r="N18" s="20" t="s">
        <v>255</v>
      </c>
      <c r="O18" s="20" t="s">
        <v>115</v>
      </c>
      <c r="P18" s="20"/>
      <c r="Q18" s="20"/>
      <c r="R18" s="15" t="str">
        <f t="shared" si="0"/>
        <v>OK</v>
      </c>
    </row>
    <row r="19" spans="1:18" ht="25.5" x14ac:dyDescent="0.45">
      <c r="A19" s="20" t="s">
        <v>256</v>
      </c>
      <c r="B19" s="20" t="s">
        <v>191</v>
      </c>
      <c r="C19" s="20" t="s">
        <v>257</v>
      </c>
      <c r="D19" s="20" t="s">
        <v>258</v>
      </c>
      <c r="E19" s="20" t="s">
        <v>171</v>
      </c>
      <c r="F19" s="15" t="str">
        <f>IF(E19="","",IFERROR(INDEX(Cascade!$D$6:$D$65,MATCH(E19,Cascade!$A$6:$A$65,0)),"Not found"))</f>
        <v>Finance</v>
      </c>
      <c r="G19" s="15" t="str">
        <f>IF(E19="","",IFERROR(INDEX(Cascade!$B$6:$B$65,MATCH(E19,Cascade!$A$6:$A$65,0)),"Not found"))</f>
        <v>C3</v>
      </c>
      <c r="H19" s="20" t="s">
        <v>194</v>
      </c>
      <c r="I19" s="20" t="s">
        <v>195</v>
      </c>
      <c r="J19" s="20" t="s">
        <v>209</v>
      </c>
      <c r="K19" s="64">
        <v>0.22</v>
      </c>
      <c r="L19" s="64">
        <v>0.24</v>
      </c>
      <c r="M19" s="20" t="s">
        <v>197</v>
      </c>
      <c r="N19" s="20" t="s">
        <v>255</v>
      </c>
      <c r="O19" s="20" t="s">
        <v>115</v>
      </c>
      <c r="P19" s="20"/>
      <c r="Q19" s="20"/>
      <c r="R19" s="15" t="str">
        <f t="shared" si="0"/>
        <v>OK</v>
      </c>
    </row>
    <row r="20" spans="1:18" ht="25.5" x14ac:dyDescent="0.45">
      <c r="A20" s="20" t="s">
        <v>259</v>
      </c>
      <c r="B20" s="20" t="s">
        <v>206</v>
      </c>
      <c r="C20" s="20" t="s">
        <v>260</v>
      </c>
      <c r="D20" s="20" t="s">
        <v>261</v>
      </c>
      <c r="E20" s="20" t="s">
        <v>171</v>
      </c>
      <c r="F20" s="15" t="str">
        <f>IF(E20="","",IFERROR(INDEX(Cascade!$D$6:$D$65,MATCH(E20,Cascade!$A$6:$A$65,0)),"Not found"))</f>
        <v>Finance</v>
      </c>
      <c r="G20" s="15" t="str">
        <f>IF(E20="","",IFERROR(INDEX(Cascade!$B$6:$B$65,MATCH(E20,Cascade!$A$6:$A$65,0)),"Not found"))</f>
        <v>C3</v>
      </c>
      <c r="H20" s="20" t="s">
        <v>202</v>
      </c>
      <c r="I20" s="20" t="s">
        <v>195</v>
      </c>
      <c r="J20" s="20" t="s">
        <v>209</v>
      </c>
      <c r="K20" s="64">
        <v>0.05</v>
      </c>
      <c r="L20" s="64">
        <v>0.08</v>
      </c>
      <c r="M20" s="20" t="s">
        <v>197</v>
      </c>
      <c r="N20" s="20" t="s">
        <v>262</v>
      </c>
      <c r="O20" s="20" t="s">
        <v>263</v>
      </c>
      <c r="P20" s="20" t="s">
        <v>115</v>
      </c>
      <c r="Q20" s="20" t="s">
        <v>264</v>
      </c>
      <c r="R20" s="15" t="str">
        <f t="shared" si="0"/>
        <v>OK</v>
      </c>
    </row>
    <row r="21" spans="1:18" ht="25.5" x14ac:dyDescent="0.45">
      <c r="A21" s="20" t="s">
        <v>265</v>
      </c>
      <c r="B21" s="20" t="s">
        <v>206</v>
      </c>
      <c r="C21" s="20" t="s">
        <v>266</v>
      </c>
      <c r="D21" s="20" t="s">
        <v>267</v>
      </c>
      <c r="E21" s="20" t="s">
        <v>171</v>
      </c>
      <c r="F21" s="15" t="str">
        <f>IF(E21="","",IFERROR(INDEX(Cascade!$D$6:$D$65,MATCH(E21,Cascade!$A$6:$A$65,0)),"Not found"))</f>
        <v>Finance</v>
      </c>
      <c r="G21" s="15" t="str">
        <f>IF(E21="","",IFERROR(INDEX(Cascade!$B$6:$B$65,MATCH(E21,Cascade!$A$6:$A$65,0)),"Not found"))</f>
        <v>C3</v>
      </c>
      <c r="H21" s="20" t="s">
        <v>202</v>
      </c>
      <c r="I21" s="20" t="s">
        <v>268</v>
      </c>
      <c r="J21" s="20" t="s">
        <v>196</v>
      </c>
      <c r="K21" s="66">
        <v>3</v>
      </c>
      <c r="L21" s="66">
        <v>2</v>
      </c>
      <c r="M21" s="20" t="s">
        <v>197</v>
      </c>
      <c r="N21" s="20" t="s">
        <v>269</v>
      </c>
      <c r="O21" s="20" t="s">
        <v>115</v>
      </c>
      <c r="P21" s="20" t="s">
        <v>270</v>
      </c>
      <c r="Q21" s="20" t="s">
        <v>271</v>
      </c>
      <c r="R21" s="15" t="str">
        <f t="shared" si="0"/>
        <v>OK</v>
      </c>
    </row>
    <row r="22" spans="1:18" ht="25.5" x14ac:dyDescent="0.45">
      <c r="A22" s="20" t="s">
        <v>272</v>
      </c>
      <c r="B22" s="20" t="s">
        <v>191</v>
      </c>
      <c r="C22" s="20" t="s">
        <v>273</v>
      </c>
      <c r="D22" s="20" t="s">
        <v>274</v>
      </c>
      <c r="E22" s="20" t="s">
        <v>173</v>
      </c>
      <c r="F22" s="15" t="str">
        <f>IF(E22="","",IFERROR(INDEX(Cascade!$D$6:$D$65,MATCH(E22,Cascade!$A$6:$A$65,0)),"Not found"))</f>
        <v>People (HR)</v>
      </c>
      <c r="G22" s="15" t="str">
        <f>IF(E22="","",IFERROR(INDEX(Cascade!$B$6:$B$65,MATCH(E22,Cascade!$A$6:$A$65,0)),"Not found"))</f>
        <v>C4</v>
      </c>
      <c r="H22" s="20" t="s">
        <v>194</v>
      </c>
      <c r="I22" s="20" t="s">
        <v>195</v>
      </c>
      <c r="J22" s="20" t="s">
        <v>209</v>
      </c>
      <c r="K22" s="64">
        <v>0.2</v>
      </c>
      <c r="L22" s="64">
        <v>0.24</v>
      </c>
      <c r="M22" s="20" t="s">
        <v>197</v>
      </c>
      <c r="N22" s="20" t="s">
        <v>275</v>
      </c>
      <c r="O22" s="20" t="s">
        <v>117</v>
      </c>
      <c r="P22" s="20"/>
      <c r="Q22" s="20"/>
      <c r="R22" s="15" t="str">
        <f t="shared" si="0"/>
        <v>OK</v>
      </c>
    </row>
    <row r="23" spans="1:18" ht="25.5" x14ac:dyDescent="0.45">
      <c r="A23" s="20" t="s">
        <v>276</v>
      </c>
      <c r="B23" s="20" t="s">
        <v>191</v>
      </c>
      <c r="C23" s="20" t="s">
        <v>277</v>
      </c>
      <c r="D23" s="20" t="s">
        <v>278</v>
      </c>
      <c r="E23" s="20" t="s">
        <v>173</v>
      </c>
      <c r="F23" s="15" t="str">
        <f>IF(E23="","",IFERROR(INDEX(Cascade!$D$6:$D$65,MATCH(E23,Cascade!$A$6:$A$65,0)),"Not found"))</f>
        <v>People (HR)</v>
      </c>
      <c r="G23" s="15" t="str">
        <f>IF(E23="","",IFERROR(INDEX(Cascade!$B$6:$B$65,MATCH(E23,Cascade!$A$6:$A$65,0)),"Not found"))</f>
        <v>C4</v>
      </c>
      <c r="H23" s="20" t="s">
        <v>202</v>
      </c>
      <c r="I23" s="20" t="s">
        <v>239</v>
      </c>
      <c r="J23" s="20" t="s">
        <v>209</v>
      </c>
      <c r="K23" s="60">
        <v>35</v>
      </c>
      <c r="L23" s="60">
        <v>45</v>
      </c>
      <c r="M23" s="20" t="s">
        <v>197</v>
      </c>
      <c r="N23" s="20" t="s">
        <v>275</v>
      </c>
      <c r="O23" s="20" t="s">
        <v>117</v>
      </c>
      <c r="P23" s="20"/>
      <c r="Q23" s="20"/>
      <c r="R23" s="15" t="str">
        <f t="shared" si="0"/>
        <v>OK</v>
      </c>
    </row>
    <row r="24" spans="1:18" x14ac:dyDescent="0.45">
      <c r="A24" s="20" t="s">
        <v>279</v>
      </c>
      <c r="B24" s="20" t="s">
        <v>206</v>
      </c>
      <c r="C24" s="20" t="s">
        <v>280</v>
      </c>
      <c r="D24" s="20" t="s">
        <v>281</v>
      </c>
      <c r="E24" s="20" t="s">
        <v>173</v>
      </c>
      <c r="F24" s="15" t="str">
        <f>IF(E24="","",IFERROR(INDEX(Cascade!$D$6:$D$65,MATCH(E24,Cascade!$A$6:$A$65,0)),"Not found"))</f>
        <v>People (HR)</v>
      </c>
      <c r="G24" s="15" t="str">
        <f>IF(E24="","",IFERROR(INDEX(Cascade!$B$6:$B$65,MATCH(E24,Cascade!$A$6:$A$65,0)),"Not found"))</f>
        <v>C4</v>
      </c>
      <c r="H24" s="20" t="s">
        <v>202</v>
      </c>
      <c r="I24" s="20" t="s">
        <v>282</v>
      </c>
      <c r="J24" s="20" t="s">
        <v>209</v>
      </c>
      <c r="K24" s="60">
        <v>1</v>
      </c>
      <c r="L24" s="60">
        <v>3</v>
      </c>
      <c r="M24" s="20" t="s">
        <v>197</v>
      </c>
      <c r="N24" s="20" t="s">
        <v>275</v>
      </c>
      <c r="O24" s="20" t="s">
        <v>117</v>
      </c>
      <c r="P24" s="20" t="s">
        <v>134</v>
      </c>
      <c r="Q24" s="20" t="s">
        <v>283</v>
      </c>
      <c r="R24" s="15" t="str">
        <f t="shared" si="0"/>
        <v>OK</v>
      </c>
    </row>
    <row r="25" spans="1:18" ht="25.5" x14ac:dyDescent="0.45">
      <c r="A25" s="20" t="s">
        <v>284</v>
      </c>
      <c r="B25" s="20" t="s">
        <v>206</v>
      </c>
      <c r="C25" s="20" t="s">
        <v>285</v>
      </c>
      <c r="D25" s="20" t="s">
        <v>286</v>
      </c>
      <c r="E25" s="20" t="s">
        <v>175</v>
      </c>
      <c r="F25" s="15" t="str">
        <f>IF(E25="","",IFERROR(INDEX(Cascade!$D$6:$D$65,MATCH(E25,Cascade!$A$6:$A$65,0)),"Not found"))</f>
        <v>IT</v>
      </c>
      <c r="G25" s="15" t="str">
        <f>IF(E25="","",IFERROR(INDEX(Cascade!$B$6:$B$65,MATCH(E25,Cascade!$A$6:$A$65,0)),"Not found"))</f>
        <v>C5</v>
      </c>
      <c r="H25" s="20" t="s">
        <v>202</v>
      </c>
      <c r="I25" s="20" t="s">
        <v>282</v>
      </c>
      <c r="J25" s="20" t="s">
        <v>209</v>
      </c>
      <c r="K25" s="60">
        <v>0</v>
      </c>
      <c r="L25" s="60">
        <v>5</v>
      </c>
      <c r="M25" s="20" t="s">
        <v>203</v>
      </c>
      <c r="N25" s="20" t="s">
        <v>287</v>
      </c>
      <c r="O25" s="20" t="s">
        <v>119</v>
      </c>
      <c r="P25" s="20" t="s">
        <v>121</v>
      </c>
      <c r="Q25" s="20" t="s">
        <v>288</v>
      </c>
      <c r="R25" s="15" t="str">
        <f t="shared" si="0"/>
        <v>OK</v>
      </c>
    </row>
    <row r="26" spans="1:18" ht="25.5" x14ac:dyDescent="0.45">
      <c r="A26" s="20" t="s">
        <v>289</v>
      </c>
      <c r="B26" s="20" t="s">
        <v>206</v>
      </c>
      <c r="C26" s="20" t="s">
        <v>290</v>
      </c>
      <c r="D26" s="20" t="s">
        <v>291</v>
      </c>
      <c r="E26" s="20" t="s">
        <v>175</v>
      </c>
      <c r="F26" s="15" t="str">
        <f>IF(E26="","",IFERROR(INDEX(Cascade!$D$6:$D$65,MATCH(E26,Cascade!$A$6:$A$65,0)),"Not found"))</f>
        <v>IT</v>
      </c>
      <c r="G26" s="15" t="str">
        <f>IF(E26="","",IFERROR(INDEX(Cascade!$B$6:$B$65,MATCH(E26,Cascade!$A$6:$A$65,0)),"Not found"))</f>
        <v>C5</v>
      </c>
      <c r="H26" s="20" t="s">
        <v>202</v>
      </c>
      <c r="I26" s="20" t="s">
        <v>195</v>
      </c>
      <c r="J26" s="20" t="s">
        <v>209</v>
      </c>
      <c r="K26" s="64">
        <v>0.05</v>
      </c>
      <c r="L26" s="64">
        <v>0.1</v>
      </c>
      <c r="M26" s="20" t="s">
        <v>197</v>
      </c>
      <c r="N26" s="20" t="s">
        <v>292</v>
      </c>
      <c r="O26" s="20" t="s">
        <v>119</v>
      </c>
      <c r="P26" s="20" t="s">
        <v>121</v>
      </c>
      <c r="Q26" s="20" t="s">
        <v>293</v>
      </c>
      <c r="R26" s="15" t="str">
        <f t="shared" si="0"/>
        <v>OK</v>
      </c>
    </row>
    <row r="27" spans="1:18" ht="25.5" x14ac:dyDescent="0.45">
      <c r="A27" s="20" t="s">
        <v>294</v>
      </c>
      <c r="B27" s="20" t="s">
        <v>206</v>
      </c>
      <c r="C27" s="20" t="s">
        <v>295</v>
      </c>
      <c r="D27" s="20" t="s">
        <v>296</v>
      </c>
      <c r="E27" s="20" t="s">
        <v>175</v>
      </c>
      <c r="F27" s="15" t="str">
        <f>IF(E27="","",IFERROR(INDEX(Cascade!$D$6:$D$65,MATCH(E27,Cascade!$A$6:$A$65,0)),"Not found"))</f>
        <v>IT</v>
      </c>
      <c r="G27" s="15" t="str">
        <f>IF(E27="","",IFERROR(INDEX(Cascade!$B$6:$B$65,MATCH(E27,Cascade!$A$6:$A$65,0)),"Not found"))</f>
        <v>C5</v>
      </c>
      <c r="H27" s="20" t="s">
        <v>202</v>
      </c>
      <c r="I27" s="20" t="s">
        <v>282</v>
      </c>
      <c r="J27" s="20" t="s">
        <v>209</v>
      </c>
      <c r="K27" s="60">
        <v>4</v>
      </c>
      <c r="L27" s="60">
        <v>8</v>
      </c>
      <c r="M27" s="20" t="s">
        <v>197</v>
      </c>
      <c r="N27" s="20" t="s">
        <v>297</v>
      </c>
      <c r="O27" s="20" t="s">
        <v>119</v>
      </c>
      <c r="P27" s="20" t="s">
        <v>121</v>
      </c>
      <c r="Q27" s="20" t="s">
        <v>298</v>
      </c>
      <c r="R27" s="15" t="str">
        <f t="shared" si="0"/>
        <v>OK</v>
      </c>
    </row>
    <row r="28" spans="1:18" ht="25.5" x14ac:dyDescent="0.45">
      <c r="A28" s="20" t="s">
        <v>299</v>
      </c>
      <c r="B28" s="20" t="s">
        <v>206</v>
      </c>
      <c r="C28" s="20" t="s">
        <v>300</v>
      </c>
      <c r="D28" s="20" t="s">
        <v>301</v>
      </c>
      <c r="E28" s="20" t="s">
        <v>177</v>
      </c>
      <c r="F28" s="15" t="str">
        <f>IF(E28="","",IFERROR(INDEX(Cascade!$D$6:$D$65,MATCH(E28,Cascade!$A$6:$A$65,0)),"Not found"))</f>
        <v>Risk and compliance</v>
      </c>
      <c r="G28" s="15" t="str">
        <f>IF(E28="","",IFERROR(INDEX(Cascade!$B$6:$B$65,MATCH(E28,Cascade!$A$6:$A$65,0)),"Not found"))</f>
        <v>C5</v>
      </c>
      <c r="H28" s="20" t="s">
        <v>202</v>
      </c>
      <c r="I28" s="20" t="s">
        <v>282</v>
      </c>
      <c r="J28" s="20" t="s">
        <v>209</v>
      </c>
      <c r="K28" s="60">
        <v>2</v>
      </c>
      <c r="L28" s="60">
        <v>5</v>
      </c>
      <c r="M28" s="20" t="s">
        <v>197</v>
      </c>
      <c r="N28" s="20" t="s">
        <v>302</v>
      </c>
      <c r="O28" s="20" t="s">
        <v>121</v>
      </c>
      <c r="P28" s="20" t="s">
        <v>151</v>
      </c>
      <c r="Q28" s="20" t="s">
        <v>303</v>
      </c>
      <c r="R28" s="15" t="str">
        <f t="shared" si="0"/>
        <v>OK</v>
      </c>
    </row>
    <row r="29" spans="1:18" ht="25.5" x14ac:dyDescent="0.45">
      <c r="A29" s="20" t="s">
        <v>304</v>
      </c>
      <c r="B29" s="20" t="s">
        <v>206</v>
      </c>
      <c r="C29" s="20" t="s">
        <v>305</v>
      </c>
      <c r="D29" s="20" t="s">
        <v>306</v>
      </c>
      <c r="E29" s="20" t="s">
        <v>177</v>
      </c>
      <c r="F29" s="15" t="str">
        <f>IF(E29="","",IFERROR(INDEX(Cascade!$D$6:$D$65,MATCH(E29,Cascade!$A$6:$A$65,0)),"Not found"))</f>
        <v>Risk and compliance</v>
      </c>
      <c r="G29" s="15" t="str">
        <f>IF(E29="","",IFERROR(INDEX(Cascade!$B$6:$B$65,MATCH(E29,Cascade!$A$6:$A$65,0)),"Not found"))</f>
        <v>C5</v>
      </c>
      <c r="H29" s="20" t="s">
        <v>202</v>
      </c>
      <c r="I29" s="20" t="s">
        <v>282</v>
      </c>
      <c r="J29" s="20" t="s">
        <v>209</v>
      </c>
      <c r="K29" s="60">
        <v>1</v>
      </c>
      <c r="L29" s="60">
        <v>3</v>
      </c>
      <c r="M29" s="20" t="s">
        <v>197</v>
      </c>
      <c r="N29" s="20" t="s">
        <v>307</v>
      </c>
      <c r="O29" s="20" t="s">
        <v>121</v>
      </c>
      <c r="P29" s="20" t="s">
        <v>134</v>
      </c>
      <c r="Q29" s="20" t="s">
        <v>308</v>
      </c>
      <c r="R29" s="15" t="str">
        <f t="shared" si="0"/>
        <v>OK</v>
      </c>
    </row>
    <row r="30" spans="1:18" x14ac:dyDescent="0.45">
      <c r="A30" s="20"/>
      <c r="B30" s="20"/>
      <c r="C30" s="20"/>
      <c r="D30" s="20"/>
      <c r="E30" s="20"/>
      <c r="F30" s="15" t="str">
        <f>IF(E30="","",IFERROR(INDEX(Cascade!$D$6:$D$65,MATCH(E30,Cascade!$A$6:$A$65,0)),"Not found"))</f>
        <v/>
      </c>
      <c r="G30" s="15" t="str">
        <f>IF(E30="","",IFERROR(INDEX(Cascade!$B$6:$B$65,MATCH(E30,Cascade!$A$6:$A$65,0)),"Not found"))</f>
        <v/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15" t="str">
        <f t="shared" si="0"/>
        <v/>
      </c>
    </row>
    <row r="31" spans="1:18" x14ac:dyDescent="0.45">
      <c r="A31" s="20"/>
      <c r="B31" s="20"/>
      <c r="C31" s="20"/>
      <c r="D31" s="20"/>
      <c r="E31" s="20"/>
      <c r="F31" s="15" t="str">
        <f>IF(E31="","",IFERROR(INDEX(Cascade!$D$6:$D$65,MATCH(E31,Cascade!$A$6:$A$65,0)),"Not found"))</f>
        <v/>
      </c>
      <c r="G31" s="15" t="str">
        <f>IF(E31="","",IFERROR(INDEX(Cascade!$B$6:$B$65,MATCH(E31,Cascade!$A$6:$A$65,0)),"Not found"))</f>
        <v/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15" t="str">
        <f t="shared" si="0"/>
        <v/>
      </c>
    </row>
    <row r="32" spans="1:18" x14ac:dyDescent="0.45">
      <c r="A32" s="20"/>
      <c r="B32" s="20"/>
      <c r="C32" s="20"/>
      <c r="D32" s="20"/>
      <c r="E32" s="20"/>
      <c r="F32" s="15" t="str">
        <f>IF(E32="","",IFERROR(INDEX(Cascade!$D$6:$D$65,MATCH(E32,Cascade!$A$6:$A$65,0)),"Not found"))</f>
        <v/>
      </c>
      <c r="G32" s="15" t="str">
        <f>IF(E32="","",IFERROR(INDEX(Cascade!$B$6:$B$65,MATCH(E32,Cascade!$A$6:$A$65,0)),"Not found"))</f>
        <v/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15" t="str">
        <f t="shared" si="0"/>
        <v/>
      </c>
    </row>
    <row r="33" spans="1:18" x14ac:dyDescent="0.45">
      <c r="A33" s="20"/>
      <c r="B33" s="20"/>
      <c r="C33" s="20"/>
      <c r="D33" s="20"/>
      <c r="E33" s="20"/>
      <c r="F33" s="15" t="str">
        <f>IF(E33="","",IFERROR(INDEX(Cascade!$D$6:$D$65,MATCH(E33,Cascade!$A$6:$A$65,0)),"Not found"))</f>
        <v/>
      </c>
      <c r="G33" s="15" t="str">
        <f>IF(E33="","",IFERROR(INDEX(Cascade!$B$6:$B$65,MATCH(E33,Cascade!$A$6:$A$65,0)),"Not found"))</f>
        <v/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15" t="str">
        <f t="shared" si="0"/>
        <v/>
      </c>
    </row>
    <row r="34" spans="1:18" x14ac:dyDescent="0.45">
      <c r="A34" s="20"/>
      <c r="B34" s="20"/>
      <c r="C34" s="20"/>
      <c r="D34" s="20"/>
      <c r="E34" s="20"/>
      <c r="F34" s="15" t="str">
        <f>IF(E34="","",IFERROR(INDEX(Cascade!$D$6:$D$65,MATCH(E34,Cascade!$A$6:$A$65,0)),"Not found"))</f>
        <v/>
      </c>
      <c r="G34" s="15" t="str">
        <f>IF(E34="","",IFERROR(INDEX(Cascade!$B$6:$B$65,MATCH(E34,Cascade!$A$6:$A$65,0)),"Not found"))</f>
        <v/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15" t="str">
        <f t="shared" si="0"/>
        <v/>
      </c>
    </row>
    <row r="35" spans="1:18" x14ac:dyDescent="0.45">
      <c r="A35" s="20"/>
      <c r="B35" s="20"/>
      <c r="C35" s="20"/>
      <c r="D35" s="20"/>
      <c r="E35" s="20"/>
      <c r="F35" s="15" t="str">
        <f>IF(E35="","",IFERROR(INDEX(Cascade!$D$6:$D$65,MATCH(E35,Cascade!$A$6:$A$65,0)),"Not found"))</f>
        <v/>
      </c>
      <c r="G35" s="15" t="str">
        <f>IF(E35="","",IFERROR(INDEX(Cascade!$B$6:$B$65,MATCH(E35,Cascade!$A$6:$A$65,0)),"Not found"))</f>
        <v/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15" t="str">
        <f t="shared" si="0"/>
        <v/>
      </c>
    </row>
    <row r="36" spans="1:18" x14ac:dyDescent="0.45">
      <c r="A36" s="20"/>
      <c r="B36" s="20"/>
      <c r="C36" s="20"/>
      <c r="D36" s="20"/>
      <c r="E36" s="20"/>
      <c r="F36" s="15" t="str">
        <f>IF(E36="","",IFERROR(INDEX(Cascade!$D$6:$D$65,MATCH(E36,Cascade!$A$6:$A$65,0)),"Not found"))</f>
        <v/>
      </c>
      <c r="G36" s="15" t="str">
        <f>IF(E36="","",IFERROR(INDEX(Cascade!$B$6:$B$65,MATCH(E36,Cascade!$A$6:$A$65,0)),"Not found"))</f>
        <v/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15" t="str">
        <f t="shared" si="0"/>
        <v/>
      </c>
    </row>
    <row r="37" spans="1:18" x14ac:dyDescent="0.45">
      <c r="A37" s="20"/>
      <c r="B37" s="20"/>
      <c r="C37" s="20"/>
      <c r="D37" s="20"/>
      <c r="E37" s="20"/>
      <c r="F37" s="15" t="str">
        <f>IF(E37="","",IFERROR(INDEX(Cascade!$D$6:$D$65,MATCH(E37,Cascade!$A$6:$A$65,0)),"Not found"))</f>
        <v/>
      </c>
      <c r="G37" s="15" t="str">
        <f>IF(E37="","",IFERROR(INDEX(Cascade!$B$6:$B$65,MATCH(E37,Cascade!$A$6:$A$65,0)),"Not found"))</f>
        <v/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15" t="str">
        <f t="shared" si="0"/>
        <v/>
      </c>
    </row>
    <row r="38" spans="1:18" x14ac:dyDescent="0.45">
      <c r="A38" s="20"/>
      <c r="B38" s="20"/>
      <c r="C38" s="20"/>
      <c r="D38" s="20"/>
      <c r="E38" s="20"/>
      <c r="F38" s="15" t="str">
        <f>IF(E38="","",IFERROR(INDEX(Cascade!$D$6:$D$65,MATCH(E38,Cascade!$A$6:$A$65,0)),"Not found"))</f>
        <v/>
      </c>
      <c r="G38" s="15" t="str">
        <f>IF(E38="","",IFERROR(INDEX(Cascade!$B$6:$B$65,MATCH(E38,Cascade!$A$6:$A$65,0)),"Not found"))</f>
        <v/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15" t="str">
        <f t="shared" ref="R38:R69" si="1">IF(A38="","",IF(COUNTIF($A$6:$A$65,A38)&gt;1,"Duplicate ID",IF(OR(F38="Not found",E38=""),"Check objective",IF(OR(K38="",L38=""),"Set limits",IF(OR(AND(J38="Higher",K38&lt;L38),AND(J38="Lower",K38&gt;L38)),"Limits wrong way",IF(AND(B38="KRI",Q38=""),"Add red action","OK"))))))</f>
        <v/>
      </c>
    </row>
    <row r="39" spans="1:18" x14ac:dyDescent="0.45">
      <c r="A39" s="20"/>
      <c r="B39" s="20"/>
      <c r="C39" s="20"/>
      <c r="D39" s="20"/>
      <c r="E39" s="20"/>
      <c r="F39" s="15" t="str">
        <f>IF(E39="","",IFERROR(INDEX(Cascade!$D$6:$D$65,MATCH(E39,Cascade!$A$6:$A$65,0)),"Not found"))</f>
        <v/>
      </c>
      <c r="G39" s="15" t="str">
        <f>IF(E39="","",IFERROR(INDEX(Cascade!$B$6:$B$65,MATCH(E39,Cascade!$A$6:$A$65,0)),"Not found"))</f>
        <v/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15" t="str">
        <f t="shared" si="1"/>
        <v/>
      </c>
    </row>
    <row r="40" spans="1:18" x14ac:dyDescent="0.45">
      <c r="A40" s="20"/>
      <c r="B40" s="20"/>
      <c r="C40" s="20"/>
      <c r="D40" s="20"/>
      <c r="E40" s="20"/>
      <c r="F40" s="15" t="str">
        <f>IF(E40="","",IFERROR(INDEX(Cascade!$D$6:$D$65,MATCH(E40,Cascade!$A$6:$A$65,0)),"Not found"))</f>
        <v/>
      </c>
      <c r="G40" s="15" t="str">
        <f>IF(E40="","",IFERROR(INDEX(Cascade!$B$6:$B$65,MATCH(E40,Cascade!$A$6:$A$65,0)),"Not found"))</f>
        <v/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5" t="str">
        <f t="shared" si="1"/>
        <v/>
      </c>
    </row>
    <row r="41" spans="1:18" x14ac:dyDescent="0.45">
      <c r="A41" s="20"/>
      <c r="B41" s="20"/>
      <c r="C41" s="20"/>
      <c r="D41" s="20"/>
      <c r="E41" s="20"/>
      <c r="F41" s="15" t="str">
        <f>IF(E41="","",IFERROR(INDEX(Cascade!$D$6:$D$65,MATCH(E41,Cascade!$A$6:$A$65,0)),"Not found"))</f>
        <v/>
      </c>
      <c r="G41" s="15" t="str">
        <f>IF(E41="","",IFERROR(INDEX(Cascade!$B$6:$B$65,MATCH(E41,Cascade!$A$6:$A$65,0)),"Not found"))</f>
        <v/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15" t="str">
        <f t="shared" si="1"/>
        <v/>
      </c>
    </row>
    <row r="42" spans="1:18" x14ac:dyDescent="0.45">
      <c r="A42" s="20"/>
      <c r="B42" s="20"/>
      <c r="C42" s="20"/>
      <c r="D42" s="20"/>
      <c r="E42" s="20"/>
      <c r="F42" s="15" t="str">
        <f>IF(E42="","",IFERROR(INDEX(Cascade!$D$6:$D$65,MATCH(E42,Cascade!$A$6:$A$65,0)),"Not found"))</f>
        <v/>
      </c>
      <c r="G42" s="15" t="str">
        <f>IF(E42="","",IFERROR(INDEX(Cascade!$B$6:$B$65,MATCH(E42,Cascade!$A$6:$A$65,0)),"Not found"))</f>
        <v/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5" t="str">
        <f t="shared" si="1"/>
        <v/>
      </c>
    </row>
    <row r="43" spans="1:18" x14ac:dyDescent="0.45">
      <c r="A43" s="20"/>
      <c r="B43" s="20"/>
      <c r="C43" s="20"/>
      <c r="D43" s="20"/>
      <c r="E43" s="20"/>
      <c r="F43" s="15" t="str">
        <f>IF(E43="","",IFERROR(INDEX(Cascade!$D$6:$D$65,MATCH(E43,Cascade!$A$6:$A$65,0)),"Not found"))</f>
        <v/>
      </c>
      <c r="G43" s="15" t="str">
        <f>IF(E43="","",IFERROR(INDEX(Cascade!$B$6:$B$65,MATCH(E43,Cascade!$A$6:$A$65,0)),"Not found"))</f>
        <v/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15" t="str">
        <f t="shared" si="1"/>
        <v/>
      </c>
    </row>
    <row r="44" spans="1:18" x14ac:dyDescent="0.45">
      <c r="A44" s="20"/>
      <c r="B44" s="20"/>
      <c r="C44" s="20"/>
      <c r="D44" s="20"/>
      <c r="E44" s="20"/>
      <c r="F44" s="15" t="str">
        <f>IF(E44="","",IFERROR(INDEX(Cascade!$D$6:$D$65,MATCH(E44,Cascade!$A$6:$A$65,0)),"Not found"))</f>
        <v/>
      </c>
      <c r="G44" s="15" t="str">
        <f>IF(E44="","",IFERROR(INDEX(Cascade!$B$6:$B$65,MATCH(E44,Cascade!$A$6:$A$65,0)),"Not found"))</f>
        <v/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15" t="str">
        <f t="shared" si="1"/>
        <v/>
      </c>
    </row>
    <row r="45" spans="1:18" x14ac:dyDescent="0.45">
      <c r="A45" s="20"/>
      <c r="B45" s="20"/>
      <c r="C45" s="20"/>
      <c r="D45" s="20"/>
      <c r="E45" s="20"/>
      <c r="F45" s="15" t="str">
        <f>IF(E45="","",IFERROR(INDEX(Cascade!$D$6:$D$65,MATCH(E45,Cascade!$A$6:$A$65,0)),"Not found"))</f>
        <v/>
      </c>
      <c r="G45" s="15" t="str">
        <f>IF(E45="","",IFERROR(INDEX(Cascade!$B$6:$B$65,MATCH(E45,Cascade!$A$6:$A$65,0)),"Not found"))</f>
        <v/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15" t="str">
        <f t="shared" si="1"/>
        <v/>
      </c>
    </row>
    <row r="46" spans="1:18" x14ac:dyDescent="0.45">
      <c r="A46" s="20"/>
      <c r="B46" s="20"/>
      <c r="C46" s="20"/>
      <c r="D46" s="20"/>
      <c r="E46" s="20"/>
      <c r="F46" s="15" t="str">
        <f>IF(E46="","",IFERROR(INDEX(Cascade!$D$6:$D$65,MATCH(E46,Cascade!$A$6:$A$65,0)),"Not found"))</f>
        <v/>
      </c>
      <c r="G46" s="15" t="str">
        <f>IF(E46="","",IFERROR(INDEX(Cascade!$B$6:$B$65,MATCH(E46,Cascade!$A$6:$A$65,0)),"Not found"))</f>
        <v/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5" t="str">
        <f t="shared" si="1"/>
        <v/>
      </c>
    </row>
    <row r="47" spans="1:18" x14ac:dyDescent="0.45">
      <c r="A47" s="20"/>
      <c r="B47" s="20"/>
      <c r="C47" s="20"/>
      <c r="D47" s="20"/>
      <c r="E47" s="20"/>
      <c r="F47" s="15" t="str">
        <f>IF(E47="","",IFERROR(INDEX(Cascade!$D$6:$D$65,MATCH(E47,Cascade!$A$6:$A$65,0)),"Not found"))</f>
        <v/>
      </c>
      <c r="G47" s="15" t="str">
        <f>IF(E47="","",IFERROR(INDEX(Cascade!$B$6:$B$65,MATCH(E47,Cascade!$A$6:$A$65,0)),"Not found"))</f>
        <v/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15" t="str">
        <f t="shared" si="1"/>
        <v/>
      </c>
    </row>
    <row r="48" spans="1:18" x14ac:dyDescent="0.45">
      <c r="A48" s="20"/>
      <c r="B48" s="20"/>
      <c r="C48" s="20"/>
      <c r="D48" s="20"/>
      <c r="E48" s="20"/>
      <c r="F48" s="15" t="str">
        <f>IF(E48="","",IFERROR(INDEX(Cascade!$D$6:$D$65,MATCH(E48,Cascade!$A$6:$A$65,0)),"Not found"))</f>
        <v/>
      </c>
      <c r="G48" s="15" t="str">
        <f>IF(E48="","",IFERROR(INDEX(Cascade!$B$6:$B$65,MATCH(E48,Cascade!$A$6:$A$65,0)),"Not found"))</f>
        <v/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5" t="str">
        <f t="shared" si="1"/>
        <v/>
      </c>
    </row>
    <row r="49" spans="1:18" x14ac:dyDescent="0.45">
      <c r="A49" s="20"/>
      <c r="B49" s="20"/>
      <c r="C49" s="20"/>
      <c r="D49" s="20"/>
      <c r="E49" s="20"/>
      <c r="F49" s="15" t="str">
        <f>IF(E49="","",IFERROR(INDEX(Cascade!$D$6:$D$65,MATCH(E49,Cascade!$A$6:$A$65,0)),"Not found"))</f>
        <v/>
      </c>
      <c r="G49" s="15" t="str">
        <f>IF(E49="","",IFERROR(INDEX(Cascade!$B$6:$B$65,MATCH(E49,Cascade!$A$6:$A$65,0)),"Not found"))</f>
        <v/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15" t="str">
        <f t="shared" si="1"/>
        <v/>
      </c>
    </row>
    <row r="50" spans="1:18" x14ac:dyDescent="0.45">
      <c r="A50" s="20"/>
      <c r="B50" s="20"/>
      <c r="C50" s="20"/>
      <c r="D50" s="20"/>
      <c r="E50" s="20"/>
      <c r="F50" s="15" t="str">
        <f>IF(E50="","",IFERROR(INDEX(Cascade!$D$6:$D$65,MATCH(E50,Cascade!$A$6:$A$65,0)),"Not found"))</f>
        <v/>
      </c>
      <c r="G50" s="15" t="str">
        <f>IF(E50="","",IFERROR(INDEX(Cascade!$B$6:$B$65,MATCH(E50,Cascade!$A$6:$A$65,0)),"Not found"))</f>
        <v/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15" t="str">
        <f t="shared" si="1"/>
        <v/>
      </c>
    </row>
    <row r="51" spans="1:18" x14ac:dyDescent="0.45">
      <c r="A51" s="20"/>
      <c r="B51" s="20"/>
      <c r="C51" s="20"/>
      <c r="D51" s="20"/>
      <c r="E51" s="20"/>
      <c r="F51" s="15" t="str">
        <f>IF(E51="","",IFERROR(INDEX(Cascade!$D$6:$D$65,MATCH(E51,Cascade!$A$6:$A$65,0)),"Not found"))</f>
        <v/>
      </c>
      <c r="G51" s="15" t="str">
        <f>IF(E51="","",IFERROR(INDEX(Cascade!$B$6:$B$65,MATCH(E51,Cascade!$A$6:$A$65,0)),"Not found"))</f>
        <v/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15" t="str">
        <f t="shared" si="1"/>
        <v/>
      </c>
    </row>
    <row r="52" spans="1:18" x14ac:dyDescent="0.45">
      <c r="A52" s="20"/>
      <c r="B52" s="20"/>
      <c r="C52" s="20"/>
      <c r="D52" s="20"/>
      <c r="E52" s="20"/>
      <c r="F52" s="15" t="str">
        <f>IF(E52="","",IFERROR(INDEX(Cascade!$D$6:$D$65,MATCH(E52,Cascade!$A$6:$A$65,0)),"Not found"))</f>
        <v/>
      </c>
      <c r="G52" s="15" t="str">
        <f>IF(E52="","",IFERROR(INDEX(Cascade!$B$6:$B$65,MATCH(E52,Cascade!$A$6:$A$65,0)),"Not found"))</f>
        <v/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15" t="str">
        <f t="shared" si="1"/>
        <v/>
      </c>
    </row>
    <row r="53" spans="1:18" x14ac:dyDescent="0.45">
      <c r="A53" s="20"/>
      <c r="B53" s="20"/>
      <c r="C53" s="20"/>
      <c r="D53" s="20"/>
      <c r="E53" s="20"/>
      <c r="F53" s="15" t="str">
        <f>IF(E53="","",IFERROR(INDEX(Cascade!$D$6:$D$65,MATCH(E53,Cascade!$A$6:$A$65,0)),"Not found"))</f>
        <v/>
      </c>
      <c r="G53" s="15" t="str">
        <f>IF(E53="","",IFERROR(INDEX(Cascade!$B$6:$B$65,MATCH(E53,Cascade!$A$6:$A$65,0)),"Not found"))</f>
        <v/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15" t="str">
        <f t="shared" si="1"/>
        <v/>
      </c>
    </row>
    <row r="54" spans="1:18" x14ac:dyDescent="0.45">
      <c r="A54" s="20"/>
      <c r="B54" s="20"/>
      <c r="C54" s="20"/>
      <c r="D54" s="20"/>
      <c r="E54" s="20"/>
      <c r="F54" s="15" t="str">
        <f>IF(E54="","",IFERROR(INDEX(Cascade!$D$6:$D$65,MATCH(E54,Cascade!$A$6:$A$65,0)),"Not found"))</f>
        <v/>
      </c>
      <c r="G54" s="15" t="str">
        <f>IF(E54="","",IFERROR(INDEX(Cascade!$B$6:$B$65,MATCH(E54,Cascade!$A$6:$A$65,0)),"Not found"))</f>
        <v/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15" t="str">
        <f t="shared" si="1"/>
        <v/>
      </c>
    </row>
    <row r="55" spans="1:18" x14ac:dyDescent="0.45">
      <c r="A55" s="20"/>
      <c r="B55" s="20"/>
      <c r="C55" s="20"/>
      <c r="D55" s="20"/>
      <c r="E55" s="20"/>
      <c r="F55" s="15" t="str">
        <f>IF(E55="","",IFERROR(INDEX(Cascade!$D$6:$D$65,MATCH(E55,Cascade!$A$6:$A$65,0)),"Not found"))</f>
        <v/>
      </c>
      <c r="G55" s="15" t="str">
        <f>IF(E55="","",IFERROR(INDEX(Cascade!$B$6:$B$65,MATCH(E55,Cascade!$A$6:$A$65,0)),"Not found"))</f>
        <v/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15" t="str">
        <f t="shared" si="1"/>
        <v/>
      </c>
    </row>
    <row r="56" spans="1:18" x14ac:dyDescent="0.45">
      <c r="A56" s="20"/>
      <c r="B56" s="20"/>
      <c r="C56" s="20"/>
      <c r="D56" s="20"/>
      <c r="E56" s="20"/>
      <c r="F56" s="15" t="str">
        <f>IF(E56="","",IFERROR(INDEX(Cascade!$D$6:$D$65,MATCH(E56,Cascade!$A$6:$A$65,0)),"Not found"))</f>
        <v/>
      </c>
      <c r="G56" s="15" t="str">
        <f>IF(E56="","",IFERROR(INDEX(Cascade!$B$6:$B$65,MATCH(E56,Cascade!$A$6:$A$65,0)),"Not found"))</f>
        <v/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15" t="str">
        <f t="shared" si="1"/>
        <v/>
      </c>
    </row>
    <row r="57" spans="1:18" x14ac:dyDescent="0.45">
      <c r="A57" s="20"/>
      <c r="B57" s="20"/>
      <c r="C57" s="20"/>
      <c r="D57" s="20"/>
      <c r="E57" s="20"/>
      <c r="F57" s="15" t="str">
        <f>IF(E57="","",IFERROR(INDEX(Cascade!$D$6:$D$65,MATCH(E57,Cascade!$A$6:$A$65,0)),"Not found"))</f>
        <v/>
      </c>
      <c r="G57" s="15" t="str">
        <f>IF(E57="","",IFERROR(INDEX(Cascade!$B$6:$B$65,MATCH(E57,Cascade!$A$6:$A$65,0)),"Not found"))</f>
        <v/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15" t="str">
        <f t="shared" si="1"/>
        <v/>
      </c>
    </row>
    <row r="58" spans="1:18" x14ac:dyDescent="0.45">
      <c r="A58" s="20"/>
      <c r="B58" s="20"/>
      <c r="C58" s="20"/>
      <c r="D58" s="20"/>
      <c r="E58" s="20"/>
      <c r="F58" s="15" t="str">
        <f>IF(E58="","",IFERROR(INDEX(Cascade!$D$6:$D$65,MATCH(E58,Cascade!$A$6:$A$65,0)),"Not found"))</f>
        <v/>
      </c>
      <c r="G58" s="15" t="str">
        <f>IF(E58="","",IFERROR(INDEX(Cascade!$B$6:$B$65,MATCH(E58,Cascade!$A$6:$A$65,0)),"Not found"))</f>
        <v/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15" t="str">
        <f t="shared" si="1"/>
        <v/>
      </c>
    </row>
    <row r="59" spans="1:18" x14ac:dyDescent="0.45">
      <c r="A59" s="20"/>
      <c r="B59" s="20"/>
      <c r="C59" s="20"/>
      <c r="D59" s="20"/>
      <c r="E59" s="20"/>
      <c r="F59" s="15" t="str">
        <f>IF(E59="","",IFERROR(INDEX(Cascade!$D$6:$D$65,MATCH(E59,Cascade!$A$6:$A$65,0)),"Not found"))</f>
        <v/>
      </c>
      <c r="G59" s="15" t="str">
        <f>IF(E59="","",IFERROR(INDEX(Cascade!$B$6:$B$65,MATCH(E59,Cascade!$A$6:$A$65,0)),"Not found"))</f>
        <v/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15" t="str">
        <f t="shared" si="1"/>
        <v/>
      </c>
    </row>
    <row r="60" spans="1:18" x14ac:dyDescent="0.45">
      <c r="A60" s="20"/>
      <c r="B60" s="20"/>
      <c r="C60" s="20"/>
      <c r="D60" s="20"/>
      <c r="E60" s="20"/>
      <c r="F60" s="15" t="str">
        <f>IF(E60="","",IFERROR(INDEX(Cascade!$D$6:$D$65,MATCH(E60,Cascade!$A$6:$A$65,0)),"Not found"))</f>
        <v/>
      </c>
      <c r="G60" s="15" t="str">
        <f>IF(E60="","",IFERROR(INDEX(Cascade!$B$6:$B$65,MATCH(E60,Cascade!$A$6:$A$65,0)),"Not found"))</f>
        <v/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15" t="str">
        <f t="shared" si="1"/>
        <v/>
      </c>
    </row>
    <row r="61" spans="1:18" x14ac:dyDescent="0.45">
      <c r="A61" s="20"/>
      <c r="B61" s="20"/>
      <c r="C61" s="20"/>
      <c r="D61" s="20"/>
      <c r="E61" s="20"/>
      <c r="F61" s="15" t="str">
        <f>IF(E61="","",IFERROR(INDEX(Cascade!$D$6:$D$65,MATCH(E61,Cascade!$A$6:$A$65,0)),"Not found"))</f>
        <v/>
      </c>
      <c r="G61" s="15" t="str">
        <f>IF(E61="","",IFERROR(INDEX(Cascade!$B$6:$B$65,MATCH(E61,Cascade!$A$6:$A$65,0)),"Not found"))</f>
        <v/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15" t="str">
        <f t="shared" si="1"/>
        <v/>
      </c>
    </row>
    <row r="62" spans="1:18" x14ac:dyDescent="0.45">
      <c r="A62" s="20"/>
      <c r="B62" s="20"/>
      <c r="C62" s="20"/>
      <c r="D62" s="20"/>
      <c r="E62" s="20"/>
      <c r="F62" s="15" t="str">
        <f>IF(E62="","",IFERROR(INDEX(Cascade!$D$6:$D$65,MATCH(E62,Cascade!$A$6:$A$65,0)),"Not found"))</f>
        <v/>
      </c>
      <c r="G62" s="15" t="str">
        <f>IF(E62="","",IFERROR(INDEX(Cascade!$B$6:$B$65,MATCH(E62,Cascade!$A$6:$A$65,0)),"Not found"))</f>
        <v/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15" t="str">
        <f t="shared" si="1"/>
        <v/>
      </c>
    </row>
    <row r="63" spans="1:18" x14ac:dyDescent="0.45">
      <c r="A63" s="20"/>
      <c r="B63" s="20"/>
      <c r="C63" s="20"/>
      <c r="D63" s="20"/>
      <c r="E63" s="20"/>
      <c r="F63" s="15" t="str">
        <f>IF(E63="","",IFERROR(INDEX(Cascade!$D$6:$D$65,MATCH(E63,Cascade!$A$6:$A$65,0)),"Not found"))</f>
        <v/>
      </c>
      <c r="G63" s="15" t="str">
        <f>IF(E63="","",IFERROR(INDEX(Cascade!$B$6:$B$65,MATCH(E63,Cascade!$A$6:$A$65,0)),"Not found"))</f>
        <v/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15" t="str">
        <f t="shared" si="1"/>
        <v/>
      </c>
    </row>
    <row r="64" spans="1:18" x14ac:dyDescent="0.45">
      <c r="A64" s="20"/>
      <c r="B64" s="20"/>
      <c r="C64" s="20"/>
      <c r="D64" s="20"/>
      <c r="E64" s="20"/>
      <c r="F64" s="15" t="str">
        <f>IF(E64="","",IFERROR(INDEX(Cascade!$D$6:$D$65,MATCH(E64,Cascade!$A$6:$A$65,0)),"Not found"))</f>
        <v/>
      </c>
      <c r="G64" s="15" t="str">
        <f>IF(E64="","",IFERROR(INDEX(Cascade!$B$6:$B$65,MATCH(E64,Cascade!$A$6:$A$65,0)),"Not found"))</f>
        <v/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15" t="str">
        <f t="shared" si="1"/>
        <v/>
      </c>
    </row>
    <row r="65" spans="1:18" x14ac:dyDescent="0.45">
      <c r="A65" s="20"/>
      <c r="B65" s="20"/>
      <c r="C65" s="20"/>
      <c r="D65" s="20"/>
      <c r="E65" s="20"/>
      <c r="F65" s="15" t="str">
        <f>IF(E65="","",IFERROR(INDEX(Cascade!$D$6:$D$65,MATCH(E65,Cascade!$A$6:$A$65,0)),"Not found"))</f>
        <v/>
      </c>
      <c r="G65" s="15" t="str">
        <f>IF(E65="","",IFERROR(INDEX(Cascade!$B$6:$B$65,MATCH(E65,Cascade!$A$6:$A$65,0)),"Not found"))</f>
        <v/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15" t="str">
        <f t="shared" si="1"/>
        <v/>
      </c>
    </row>
  </sheetData>
  <conditionalFormatting sqref="B6:B65">
    <cfRule type="cellIs" dxfId="32" priority="6" operator="equal">
      <formula>"KRI"</formula>
    </cfRule>
  </conditionalFormatting>
  <conditionalFormatting sqref="K6:L65">
    <cfRule type="expression" dxfId="31" priority="2">
      <formula>$I6="%"</formula>
    </cfRule>
    <cfRule type="expression" dxfId="30" priority="3">
      <formula>$I6="Months"</formula>
    </cfRule>
    <cfRule type="expression" dxfId="29" priority="4">
      <formula>$I6="Amount"</formula>
    </cfRule>
  </conditionalFormatting>
  <conditionalFormatting sqref="R6:R65">
    <cfRule type="expression" dxfId="28" priority="5">
      <formula>AND(R6&lt;&gt;"",R6&lt;&gt;"OK")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error="Pick a value from the list." xr:uid="{00000000-0002-0000-0600-000000000000}">
          <x14:formula1>
            <xm:f>Lists!$B$6:$B$20</xm:f>
          </x14:formula1>
          <x14:formula2>
            <xm:f>0</xm:f>
          </x14:formula2>
          <xm:sqref>B6:B65</xm:sqref>
        </x14:dataValidation>
        <x14:dataValidation type="list" allowBlank="1" showErrorMessage="1" error="Pick a value from the list." xr:uid="{00000000-0002-0000-0600-000001000000}">
          <x14:formula1>
            <xm:f>Cascade!$A$6:$A$65</xm:f>
          </x14:formula1>
          <x14:formula2>
            <xm:f>0</xm:f>
          </x14:formula2>
          <xm:sqref>E6:E65</xm:sqref>
        </x14:dataValidation>
        <x14:dataValidation type="list" allowBlank="1" showErrorMessage="1" error="Pick a value from the list." xr:uid="{00000000-0002-0000-0600-000002000000}">
          <x14:formula1>
            <xm:f>Lists!$D$6:$D$20</xm:f>
          </x14:formula1>
          <x14:formula2>
            <xm:f>0</xm:f>
          </x14:formula2>
          <xm:sqref>H6:H65</xm:sqref>
        </x14:dataValidation>
        <x14:dataValidation type="list" allowBlank="1" showErrorMessage="1" error="Pick a value from the list." xr:uid="{00000000-0002-0000-0600-000003000000}">
          <x14:formula1>
            <xm:f>Lists!$F$6:$F$20</xm:f>
          </x14:formula1>
          <x14:formula2>
            <xm:f>0</xm:f>
          </x14:formula2>
          <xm:sqref>I6:I65</xm:sqref>
        </x14:dataValidation>
        <x14:dataValidation type="list" allowBlank="1" showErrorMessage="1" error="Pick a value from the list." xr:uid="{00000000-0002-0000-0600-000004000000}">
          <x14:formula1>
            <xm:f>Lists!$C$6:$C$20</xm:f>
          </x14:formula1>
          <x14:formula2>
            <xm:f>0</xm:f>
          </x14:formula2>
          <xm:sqref>J6:J65</xm:sqref>
        </x14:dataValidation>
        <x14:dataValidation type="list" allowBlank="1" showErrorMessage="1" error="Pick a value from the list." xr:uid="{00000000-0002-0000-0600-000005000000}">
          <x14:formula1>
            <xm:f>Lists!$E$6:$E$20</xm:f>
          </x14:formula1>
          <x14:formula2>
            <xm:f>0</xm:f>
          </x14:formula2>
          <xm:sqref>M6:M65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3B2F"/>
  </sheetPr>
  <dimension ref="A1:AE65"/>
  <sheetViews>
    <sheetView showGridLines="0" zoomScale="92" zoomScaleNormal="100" workbookViewId="0">
      <pane xSplit="3" ySplit="5" topLeftCell="L17" activePane="bottomRight" state="frozen"/>
      <selection pane="topRight" activeCell="D1" sqref="D1"/>
      <selection pane="bottomLeft" activeCell="A6" sqref="A6"/>
      <selection pane="bottomRight" activeCell="AD11" sqref="AD11"/>
    </sheetView>
  </sheetViews>
  <sheetFormatPr defaultColWidth="8.6640625" defaultRowHeight="14.25" x14ac:dyDescent="0.45"/>
  <cols>
    <col min="1" max="1" width="7" customWidth="1"/>
    <col min="2" max="2" width="6" customWidth="1"/>
    <col min="3" max="3" width="28" customWidth="1"/>
    <col min="4" max="4" width="18" customWidth="1"/>
    <col min="5" max="5" width="8" customWidth="1"/>
    <col min="6" max="6" width="9" customWidth="1"/>
    <col min="7" max="7" width="18" customWidth="1"/>
    <col min="8" max="8" width="8" customWidth="1"/>
    <col min="9" max="10" width="9" customWidth="1"/>
    <col min="11" max="11" width="7" customWidth="1"/>
    <col min="12" max="23" width="7.46484375" customWidth="1"/>
    <col min="24" max="26" width="9" customWidth="1"/>
    <col min="27" max="27" width="11" customWidth="1"/>
    <col min="28" max="28" width="40" customWidth="1"/>
    <col min="29" max="29" width="6.265625" customWidth="1"/>
    <col min="30" max="30" width="6.46484375" customWidth="1"/>
    <col min="31" max="31" width="7.59765625" customWidth="1"/>
  </cols>
  <sheetData>
    <row r="1" spans="1:31" ht="20.65" x14ac:dyDescent="0.6">
      <c r="A1" s="11" t="s">
        <v>309</v>
      </c>
    </row>
    <row r="2" spans="1:31" x14ac:dyDescent="0.45">
      <c r="A2" s="12" t="s">
        <v>310</v>
      </c>
    </row>
    <row r="4" spans="1:31" x14ac:dyDescent="0.45">
      <c r="L4" s="67" t="str">
        <f>IF(Setup!$B$7="","","Reporting month: "&amp;Setup!$B$6&amp;" "&amp;Setup!$B$5)</f>
        <v>Reporting month: Sep 2026</v>
      </c>
    </row>
    <row r="5" spans="1:31" ht="30" customHeight="1" x14ac:dyDescent="0.45">
      <c r="A5" s="33" t="s">
        <v>55</v>
      </c>
      <c r="B5" s="33" t="s">
        <v>83</v>
      </c>
      <c r="C5" s="33" t="s">
        <v>82</v>
      </c>
      <c r="D5" s="33" t="s">
        <v>59</v>
      </c>
      <c r="E5" s="33" t="s">
        <v>311</v>
      </c>
      <c r="F5" s="33" t="s">
        <v>127</v>
      </c>
      <c r="G5" s="33" t="s">
        <v>87</v>
      </c>
      <c r="H5" s="33" t="s">
        <v>35</v>
      </c>
      <c r="I5" s="33" t="s">
        <v>85</v>
      </c>
      <c r="J5" s="33" t="s">
        <v>96</v>
      </c>
      <c r="K5" s="33" t="s">
        <v>183</v>
      </c>
      <c r="L5" s="33" t="s">
        <v>68</v>
      </c>
      <c r="M5" s="33" t="s">
        <v>69</v>
      </c>
      <c r="N5" s="33" t="s">
        <v>70</v>
      </c>
      <c r="O5" s="33" t="s">
        <v>71</v>
      </c>
      <c r="P5" s="33" t="s">
        <v>72</v>
      </c>
      <c r="Q5" s="33" t="s">
        <v>73</v>
      </c>
      <c r="R5" s="33" t="s">
        <v>74</v>
      </c>
      <c r="S5" s="33" t="s">
        <v>75</v>
      </c>
      <c r="T5" s="33" t="s">
        <v>76</v>
      </c>
      <c r="U5" s="33" t="s">
        <v>77</v>
      </c>
      <c r="V5" s="33" t="s">
        <v>78</v>
      </c>
      <c r="W5" s="33" t="s">
        <v>79</v>
      </c>
      <c r="X5" s="33" t="s">
        <v>84</v>
      </c>
      <c r="Y5" s="33" t="s">
        <v>95</v>
      </c>
      <c r="Z5" s="33" t="s">
        <v>86</v>
      </c>
      <c r="AA5" s="33" t="s">
        <v>39</v>
      </c>
      <c r="AB5" s="33" t="s">
        <v>88</v>
      </c>
      <c r="AC5" s="33" t="s">
        <v>312</v>
      </c>
      <c r="AD5" s="33" t="s">
        <v>313</v>
      </c>
      <c r="AE5" s="33" t="s">
        <v>314</v>
      </c>
    </row>
    <row r="6" spans="1:31" ht="25.5" x14ac:dyDescent="0.45">
      <c r="A6" s="15" t="str">
        <f>IF(Measures!$A6="","",Measures!$A6)</f>
        <v>K01</v>
      </c>
      <c r="B6" s="15" t="str">
        <f>IF(OR($A6="",Measures!$B6=""),"",Measures!$B6)</f>
        <v>KPI</v>
      </c>
      <c r="C6" s="15" t="str">
        <f>IF(OR($A6="",Measures!$C6=""),"",Measures!$C6)</f>
        <v>Online share of sales</v>
      </c>
      <c r="D6" s="15" t="str">
        <f>IF(OR($A6="",Measures!$F6=""),"",Measures!$F6)</f>
        <v>Sales and e-commerce</v>
      </c>
      <c r="E6" s="15" t="str">
        <f>IF(OR($A6="",Measures!$E6=""),"",Measures!$E6)</f>
        <v>D1</v>
      </c>
      <c r="F6" s="15" t="str">
        <f>IF(OR($A6="",Measures!$G6=""),"",Measures!$G6)</f>
        <v>C1</v>
      </c>
      <c r="G6" s="15" t="str">
        <f>IF(OR($A6="",Measures!$O6=""),"",Measures!$O6)</f>
        <v>Head of E-commerce</v>
      </c>
      <c r="H6" s="15" t="str">
        <f>IF(OR($A6="",Measures!$J6=""),"",Measures!$J6)</f>
        <v>Higher</v>
      </c>
      <c r="I6" s="56">
        <f>IF(OR($A6="",Measures!$K6=""),"",Measures!$K6)</f>
        <v>0.2</v>
      </c>
      <c r="J6" s="56">
        <f>IF(OR($A6="",Measures!$L6=""),"",Measures!$L6)</f>
        <v>0.17</v>
      </c>
      <c r="K6" s="15" t="str">
        <f>IF(OR($A6="",Measures!$I6=""),"",Measures!$I6)</f>
        <v>%</v>
      </c>
      <c r="L6" s="64">
        <v>0.15</v>
      </c>
      <c r="M6" s="64">
        <v>0.155</v>
      </c>
      <c r="N6" s="64">
        <v>0.16</v>
      </c>
      <c r="O6" s="64">
        <v>0.16500000000000001</v>
      </c>
      <c r="P6" s="64">
        <v>0.17</v>
      </c>
      <c r="Q6" s="64">
        <v>0.17199999999999999</v>
      </c>
      <c r="R6" s="64">
        <v>0.17499999999999999</v>
      </c>
      <c r="S6" s="64">
        <v>0.17599999999999999</v>
      </c>
      <c r="T6" s="64">
        <v>0.17799999999999999</v>
      </c>
      <c r="U6" s="64"/>
      <c r="V6" s="64"/>
      <c r="W6" s="64"/>
      <c r="X6" s="55">
        <f>IF($A6="","",IF(INDEX($L6:$W6,Setup!$B$7)="","",INDEX($L6:$W6,Setup!$B$7)))</f>
        <v>0.17799999999999999</v>
      </c>
      <c r="Y6" s="56">
        <f>IF(OR($A6="",Setup!$B$7&lt;2),"",IF(INDEX($L6:$W6,Setup!$B$7-1)="","",INDEX($L6:$W6,Setup!$B$7-1)))</f>
        <v>0.17599999999999999</v>
      </c>
      <c r="Z6" s="32" t="str">
        <f t="shared" ref="Z6:Z37" si="0">IF($A6="","",IF(OR(X6="",I6="",J6=""),"No data",IF(H6="Higher",IF(X6&gt;=I6,"Green",IF(X6&gt;=J6,"Amber","Red")),IF(X6&lt;=I6,"Green",IF(X6&lt;=J6,"Amber","Red")))))</f>
        <v>Amber</v>
      </c>
      <c r="AA6" s="15" t="str">
        <f t="shared" ref="AA6:AA37" si="1">IF(OR(X6="",Y6=""),"",IF(X6=Y6,"Flat",IF((X6&gt;Y6)=(H6="Higher"),"Improving","Worsening")))</f>
        <v>Improving</v>
      </c>
      <c r="AB6" s="20"/>
      <c r="AC6" s="63">
        <f t="shared" ref="AC6:AC37" si="2">IF(Z6="Red",1,IF(Z6="Amber",2,""))</f>
        <v>2</v>
      </c>
      <c r="AD6" s="63">
        <f>IF(AC6="","",COUNTIF($AC$6:$AC$65,"&lt;"&amp;AC6)+COUNTIF($AC$6:AC6,AC6))</f>
        <v>7</v>
      </c>
      <c r="AE6" s="63" t="str">
        <f>IF(OR($A6="",$D6&lt;&gt;'Department view'!$C$4),"",COUNTIF($D$6:$D6,'Department view'!$C$4))</f>
        <v/>
      </c>
    </row>
    <row r="7" spans="1:31" ht="25.5" x14ac:dyDescent="0.45">
      <c r="A7" s="15" t="str">
        <f>IF(Measures!$A7="","",Measures!$A7)</f>
        <v>K02</v>
      </c>
      <c r="B7" s="15" t="str">
        <f>IF(OR($A7="",Measures!$B7=""),"",Measures!$B7)</f>
        <v>KPI</v>
      </c>
      <c r="C7" s="15" t="str">
        <f>IF(OR($A7="",Measures!$C7=""),"",Measures!$C7)</f>
        <v>Online conversion rate</v>
      </c>
      <c r="D7" s="15" t="str">
        <f>IF(OR($A7="",Measures!$F7=""),"",Measures!$F7)</f>
        <v>Sales and e-commerce</v>
      </c>
      <c r="E7" s="15" t="str">
        <f>IF(OR($A7="",Measures!$E7=""),"",Measures!$E7)</f>
        <v>D1</v>
      </c>
      <c r="F7" s="15" t="str">
        <f>IF(OR($A7="",Measures!$G7=""),"",Measures!$G7)</f>
        <v>C1</v>
      </c>
      <c r="G7" s="15" t="str">
        <f>IF(OR($A7="",Measures!$O7=""),"",Measures!$O7)</f>
        <v>Head of E-commerce</v>
      </c>
      <c r="H7" s="15" t="str">
        <f>IF(OR($A7="",Measures!$J7=""),"",Measures!$J7)</f>
        <v>Higher</v>
      </c>
      <c r="I7" s="56">
        <f>IF(OR($A7="",Measures!$K7=""),"",Measures!$K7)</f>
        <v>2.5000000000000001E-2</v>
      </c>
      <c r="J7" s="56">
        <f>IF(OR($A7="",Measures!$L7=""),"",Measures!$L7)</f>
        <v>2.1000000000000001E-2</v>
      </c>
      <c r="K7" s="15" t="str">
        <f>IF(OR($A7="",Measures!$I7=""),"",Measures!$I7)</f>
        <v>%</v>
      </c>
      <c r="L7" s="64">
        <v>2.1000000000000001E-2</v>
      </c>
      <c r="M7" s="64">
        <v>2.1999999999999999E-2</v>
      </c>
      <c r="N7" s="64">
        <v>2.1999999999999999E-2</v>
      </c>
      <c r="O7" s="64">
        <v>2.3E-2</v>
      </c>
      <c r="P7" s="64">
        <v>2.4E-2</v>
      </c>
      <c r="Q7" s="64">
        <v>2.4E-2</v>
      </c>
      <c r="R7" s="64">
        <v>2.5000000000000001E-2</v>
      </c>
      <c r="S7" s="64">
        <v>2.5999999999999999E-2</v>
      </c>
      <c r="T7" s="64">
        <v>2.5000000000000001E-2</v>
      </c>
      <c r="U7" s="64"/>
      <c r="V7" s="64"/>
      <c r="W7" s="64"/>
      <c r="X7" s="55">
        <f>IF($A7="","",IF(INDEX($L7:$W7,Setup!$B$7)="","",INDEX($L7:$W7,Setup!$B$7)))</f>
        <v>2.5000000000000001E-2</v>
      </c>
      <c r="Y7" s="56">
        <f>IF(OR($A7="",Setup!$B$7&lt;2),"",IF(INDEX($L7:$W7,Setup!$B$7-1)="","",INDEX($L7:$W7,Setup!$B$7-1)))</f>
        <v>2.5999999999999999E-2</v>
      </c>
      <c r="Z7" s="32" t="str">
        <f t="shared" si="0"/>
        <v>Green</v>
      </c>
      <c r="AA7" s="15" t="str">
        <f t="shared" si="1"/>
        <v>Worsening</v>
      </c>
      <c r="AB7" s="20"/>
      <c r="AC7" s="63" t="str">
        <f t="shared" si="2"/>
        <v/>
      </c>
      <c r="AD7" s="63" t="str">
        <f>IF(AC7="","",COUNTIF($AC$6:$AC$65,"&lt;"&amp;AC7)+COUNTIF($AC$6:AC7,AC7))</f>
        <v/>
      </c>
      <c r="AE7" s="63" t="str">
        <f>IF(OR($A7="",$D7&lt;&gt;'Department view'!$C$4),"",COUNTIF($D$6:$D7,'Department view'!$C$4))</f>
        <v/>
      </c>
    </row>
    <row r="8" spans="1:31" ht="25.5" x14ac:dyDescent="0.45">
      <c r="A8" s="15" t="str">
        <f>IF(Measures!$A8="","",Measures!$A8)</f>
        <v>R11</v>
      </c>
      <c r="B8" s="15" t="str">
        <f>IF(OR($A8="",Measures!$B8=""),"",Measures!$B8)</f>
        <v>KRI</v>
      </c>
      <c r="C8" s="15" t="str">
        <f>IF(OR($A8="",Measures!$C8=""),"",Measures!$C8)</f>
        <v>Online refund rate</v>
      </c>
      <c r="D8" s="15" t="str">
        <f>IF(OR($A8="",Measures!$F8=""),"",Measures!$F8)</f>
        <v>Sales and e-commerce</v>
      </c>
      <c r="E8" s="15" t="str">
        <f>IF(OR($A8="",Measures!$E8=""),"",Measures!$E8)</f>
        <v>D1</v>
      </c>
      <c r="F8" s="15" t="str">
        <f>IF(OR($A8="",Measures!$G8=""),"",Measures!$G8)</f>
        <v>C1</v>
      </c>
      <c r="G8" s="15" t="str">
        <f>IF(OR($A8="",Measures!$O8=""),"",Measures!$O8)</f>
        <v>Head of E-commerce</v>
      </c>
      <c r="H8" s="15" t="str">
        <f>IF(OR($A8="",Measures!$J8=""),"",Measures!$J8)</f>
        <v>Lower</v>
      </c>
      <c r="I8" s="56">
        <f>IF(OR($A8="",Measures!$K8=""),"",Measures!$K8)</f>
        <v>0.04</v>
      </c>
      <c r="J8" s="56">
        <f>IF(OR($A8="",Measures!$L8=""),"",Measures!$L8)</f>
        <v>0.06</v>
      </c>
      <c r="K8" s="15" t="str">
        <f>IF(OR($A8="",Measures!$I8=""),"",Measures!$I8)</f>
        <v>%</v>
      </c>
      <c r="L8" s="64">
        <v>3.5000000000000003E-2</v>
      </c>
      <c r="M8" s="64">
        <v>3.5999999999999997E-2</v>
      </c>
      <c r="N8" s="64">
        <v>3.7999999999999999E-2</v>
      </c>
      <c r="O8" s="64">
        <v>0.04</v>
      </c>
      <c r="P8" s="64">
        <v>4.2000000000000003E-2</v>
      </c>
      <c r="Q8" s="64">
        <v>4.4999999999999998E-2</v>
      </c>
      <c r="R8" s="64">
        <v>4.7E-2</v>
      </c>
      <c r="S8" s="64">
        <v>0.05</v>
      </c>
      <c r="T8" s="64">
        <v>5.1999999999999998E-2</v>
      </c>
      <c r="U8" s="64"/>
      <c r="V8" s="64"/>
      <c r="W8" s="64"/>
      <c r="X8" s="55">
        <f>IF($A8="","",IF(INDEX($L8:$W8,Setup!$B$7)="","",INDEX($L8:$W8,Setup!$B$7)))</f>
        <v>5.1999999999999998E-2</v>
      </c>
      <c r="Y8" s="56">
        <f>IF(OR($A8="",Setup!$B$7&lt;2),"",IF(INDEX($L8:$W8,Setup!$B$7-1)="","",INDEX($L8:$W8,Setup!$B$7-1)))</f>
        <v>0.05</v>
      </c>
      <c r="Z8" s="32" t="str">
        <f t="shared" si="0"/>
        <v>Amber</v>
      </c>
      <c r="AA8" s="15" t="str">
        <f t="shared" si="1"/>
        <v>Worsening</v>
      </c>
      <c r="AB8" s="20"/>
      <c r="AC8" s="63">
        <f t="shared" si="2"/>
        <v>2</v>
      </c>
      <c r="AD8" s="63">
        <f>IF(AC8="","",COUNTIF($AC$6:$AC$65,"&lt;"&amp;AC8)+COUNTIF($AC$6:AC8,AC8))</f>
        <v>8</v>
      </c>
      <c r="AE8" s="63" t="str">
        <f>IF(OR($A8="",$D8&lt;&gt;'Department view'!$C$4),"",COUNTIF($D$6:$D8,'Department view'!$C$4))</f>
        <v/>
      </c>
    </row>
    <row r="9" spans="1:31" ht="25.5" x14ac:dyDescent="0.45">
      <c r="A9" s="15" t="str">
        <f>IF(Measures!$A9="","",Measures!$A9)</f>
        <v>K03</v>
      </c>
      <c r="B9" s="15" t="str">
        <f>IF(OR($A9="",Measures!$B9=""),"",Measures!$B9)</f>
        <v>KPI</v>
      </c>
      <c r="C9" s="15" t="str">
        <f>IF(OR($A9="",Measures!$C9=""),"",Measures!$C9)</f>
        <v>Like-for-like store sales growth</v>
      </c>
      <c r="D9" s="15" t="str">
        <f>IF(OR($A9="",Measures!$F9=""),"",Measures!$F9)</f>
        <v>Sales and e-commerce</v>
      </c>
      <c r="E9" s="15" t="str">
        <f>IF(OR($A9="",Measures!$E9=""),"",Measures!$E9)</f>
        <v>D2</v>
      </c>
      <c r="F9" s="15" t="str">
        <f>IF(OR($A9="",Measures!$G9=""),"",Measures!$G9)</f>
        <v>C1</v>
      </c>
      <c r="G9" s="15" t="str">
        <f>IF(OR($A9="",Measures!$O9=""),"",Measures!$O9)</f>
        <v>Head of Retail</v>
      </c>
      <c r="H9" s="15" t="str">
        <f>IF(OR($A9="",Measures!$J9=""),"",Measures!$J9)</f>
        <v>Higher</v>
      </c>
      <c r="I9" s="56">
        <f>IF(OR($A9="",Measures!$K9=""),"",Measures!$K9)</f>
        <v>0.06</v>
      </c>
      <c r="J9" s="56">
        <f>IF(OR($A9="",Measures!$L9=""),"",Measures!$L9)</f>
        <v>0.03</v>
      </c>
      <c r="K9" s="15" t="str">
        <f>IF(OR($A9="",Measures!$I9=""),"",Measures!$I9)</f>
        <v>%</v>
      </c>
      <c r="L9" s="64">
        <v>4.1000000000000002E-2</v>
      </c>
      <c r="M9" s="64">
        <v>3.7999999999999999E-2</v>
      </c>
      <c r="N9" s="64">
        <v>5.1999999999999998E-2</v>
      </c>
      <c r="O9" s="64">
        <v>6.0999999999999999E-2</v>
      </c>
      <c r="P9" s="64">
        <v>5.8000000000000003E-2</v>
      </c>
      <c r="Q9" s="64">
        <v>6.4000000000000001E-2</v>
      </c>
      <c r="R9" s="64">
        <v>6.6000000000000003E-2</v>
      </c>
      <c r="S9" s="64">
        <v>5.8999999999999997E-2</v>
      </c>
      <c r="T9" s="64">
        <v>6.2E-2</v>
      </c>
      <c r="U9" s="64"/>
      <c r="V9" s="64"/>
      <c r="W9" s="64"/>
      <c r="X9" s="55">
        <f>IF($A9="","",IF(INDEX($L9:$W9,Setup!$B$7)="","",INDEX($L9:$W9,Setup!$B$7)))</f>
        <v>6.2E-2</v>
      </c>
      <c r="Y9" s="56">
        <f>IF(OR($A9="",Setup!$B$7&lt;2),"",IF(INDEX($L9:$W9,Setup!$B$7-1)="","",INDEX($L9:$W9,Setup!$B$7-1)))</f>
        <v>5.8999999999999997E-2</v>
      </c>
      <c r="Z9" s="32" t="str">
        <f t="shared" si="0"/>
        <v>Green</v>
      </c>
      <c r="AA9" s="15" t="str">
        <f t="shared" si="1"/>
        <v>Improving</v>
      </c>
      <c r="AB9" s="20"/>
      <c r="AC9" s="63" t="str">
        <f t="shared" si="2"/>
        <v/>
      </c>
      <c r="AD9" s="63" t="str">
        <f>IF(AC9="","",COUNTIF($AC$6:$AC$65,"&lt;"&amp;AC9)+COUNTIF($AC$6:AC9,AC9))</f>
        <v/>
      </c>
      <c r="AE9" s="63" t="str">
        <f>IF(OR($A9="",$D9&lt;&gt;'Department view'!$C$4),"",COUNTIF($D$6:$D9,'Department view'!$C$4))</f>
        <v/>
      </c>
    </row>
    <row r="10" spans="1:31" ht="25.5" x14ac:dyDescent="0.45">
      <c r="A10" s="15" t="str">
        <f>IF(Measures!$A10="","",Measures!$A10)</f>
        <v>K04</v>
      </c>
      <c r="B10" s="15" t="str">
        <f>IF(OR($A10="",Measures!$B10=""),"",Measures!$B10)</f>
        <v>KPI</v>
      </c>
      <c r="C10" s="15" t="str">
        <f>IF(OR($A10="",Measures!$C10=""),"",Measures!$C10)</f>
        <v>Average basket value</v>
      </c>
      <c r="D10" s="15" t="str">
        <f>IF(OR($A10="",Measures!$F10=""),"",Measures!$F10)</f>
        <v>Sales and e-commerce</v>
      </c>
      <c r="E10" s="15" t="str">
        <f>IF(OR($A10="",Measures!$E10=""),"",Measures!$E10)</f>
        <v>D2</v>
      </c>
      <c r="F10" s="15" t="str">
        <f>IF(OR($A10="",Measures!$G10=""),"",Measures!$G10)</f>
        <v>C1</v>
      </c>
      <c r="G10" s="15" t="str">
        <f>IF(OR($A10="",Measures!$O10=""),"",Measures!$O10)</f>
        <v>Head of Retail</v>
      </c>
      <c r="H10" s="15" t="str">
        <f>IF(OR($A10="",Measures!$J10=""),"",Measures!$J10)</f>
        <v>Higher</v>
      </c>
      <c r="I10" s="68">
        <f>IF(OR($A10="",Measures!$K10=""),"",Measures!$K10)</f>
        <v>85</v>
      </c>
      <c r="J10" s="68">
        <f>IF(OR($A10="",Measures!$L10=""),"",Measures!$L10)</f>
        <v>80</v>
      </c>
      <c r="K10" s="15" t="str">
        <f>IF(OR($A10="",Measures!$I10=""),"",Measures!$I10)</f>
        <v>Amount</v>
      </c>
      <c r="L10" s="65">
        <v>78</v>
      </c>
      <c r="M10" s="65">
        <v>79</v>
      </c>
      <c r="N10" s="65">
        <v>80</v>
      </c>
      <c r="O10" s="65">
        <v>81</v>
      </c>
      <c r="P10" s="65">
        <v>82</v>
      </c>
      <c r="Q10" s="65">
        <v>82</v>
      </c>
      <c r="R10" s="65">
        <v>83</v>
      </c>
      <c r="S10" s="65">
        <v>84</v>
      </c>
      <c r="T10" s="65">
        <v>85.5</v>
      </c>
      <c r="U10" s="65"/>
      <c r="V10" s="65"/>
      <c r="W10" s="65"/>
      <c r="X10" s="69">
        <f>IF($A10="","",IF(INDEX($L10:$W10,Setup!$B$7)="","",INDEX($L10:$W10,Setup!$B$7)))</f>
        <v>85.5</v>
      </c>
      <c r="Y10" s="68">
        <f>IF(OR($A10="",Setup!$B$7&lt;2),"",IF(INDEX($L10:$W10,Setup!$B$7-1)="","",INDEX($L10:$W10,Setup!$B$7-1)))</f>
        <v>84</v>
      </c>
      <c r="Z10" s="32" t="str">
        <f t="shared" si="0"/>
        <v>Green</v>
      </c>
      <c r="AA10" s="15" t="str">
        <f t="shared" si="1"/>
        <v>Improving</v>
      </c>
      <c r="AB10" s="20"/>
      <c r="AC10" s="63" t="str">
        <f t="shared" si="2"/>
        <v/>
      </c>
      <c r="AD10" s="63" t="str">
        <f>IF(AC10="","",COUNTIF($AC$6:$AC$65,"&lt;"&amp;AC10)+COUNTIF($AC$6:AC10,AC10))</f>
        <v/>
      </c>
      <c r="AE10" s="63" t="str">
        <f>IF(OR($A10="",$D10&lt;&gt;'Department view'!$C$4),"",COUNTIF($D$6:$D10,'Department view'!$C$4))</f>
        <v/>
      </c>
    </row>
    <row r="11" spans="1:31" ht="25.5" x14ac:dyDescent="0.45">
      <c r="A11" s="15" t="str">
        <f>IF(Measures!$A11="","",Measures!$A11)</f>
        <v>K05</v>
      </c>
      <c r="B11" s="15" t="str">
        <f>IF(OR($A11="",Measures!$B11=""),"",Measures!$B11)</f>
        <v>KPI</v>
      </c>
      <c r="C11" s="15" t="str">
        <f>IF(OR($A11="",Measures!$C11=""),"",Measures!$C11)</f>
        <v>Repeat customer rate</v>
      </c>
      <c r="D11" s="15" t="str">
        <f>IF(OR($A11="",Measures!$F11=""),"",Measures!$F11)</f>
        <v>Marketing and service</v>
      </c>
      <c r="E11" s="15" t="str">
        <f>IF(OR($A11="",Measures!$E11=""),"",Measures!$E11)</f>
        <v>D3</v>
      </c>
      <c r="F11" s="15" t="str">
        <f>IF(OR($A11="",Measures!$G11=""),"",Measures!$G11)</f>
        <v>C2</v>
      </c>
      <c r="G11" s="15" t="str">
        <f>IF(OR($A11="",Measures!$O11=""),"",Measures!$O11)</f>
        <v>Head of Marketing</v>
      </c>
      <c r="H11" s="15" t="str">
        <f>IF(OR($A11="",Measures!$J11=""),"",Measures!$J11)</f>
        <v>Higher</v>
      </c>
      <c r="I11" s="56">
        <f>IF(OR($A11="",Measures!$K11=""),"",Measures!$K11)</f>
        <v>0.4</v>
      </c>
      <c r="J11" s="56">
        <f>IF(OR($A11="",Measures!$L11=""),"",Measures!$L11)</f>
        <v>0.35</v>
      </c>
      <c r="K11" s="15" t="str">
        <f>IF(OR($A11="",Measures!$I11=""),"",Measures!$I11)</f>
        <v>%</v>
      </c>
      <c r="L11" s="64">
        <v>0.33</v>
      </c>
      <c r="M11" s="64">
        <v>0.34</v>
      </c>
      <c r="N11" s="64">
        <v>0.34</v>
      </c>
      <c r="O11" s="64">
        <v>0.33</v>
      </c>
      <c r="P11" s="64">
        <v>0.32</v>
      </c>
      <c r="Q11" s="64">
        <v>0.31</v>
      </c>
      <c r="R11" s="64">
        <v>0.32</v>
      </c>
      <c r="S11" s="64">
        <v>0.33</v>
      </c>
      <c r="T11" s="64">
        <v>0.34</v>
      </c>
      <c r="U11" s="64"/>
      <c r="V11" s="64"/>
      <c r="W11" s="64"/>
      <c r="X11" s="55">
        <f>IF($A11="","",IF(INDEX($L11:$W11,Setup!$B$7)="","",INDEX($L11:$W11,Setup!$B$7)))</f>
        <v>0.34</v>
      </c>
      <c r="Y11" s="56">
        <f>IF(OR($A11="",Setup!$B$7&lt;2),"",IF(INDEX($L11:$W11,Setup!$B$7-1)="","",INDEX($L11:$W11,Setup!$B$7-1)))</f>
        <v>0.33</v>
      </c>
      <c r="Z11" s="32" t="str">
        <f t="shared" si="0"/>
        <v>Red</v>
      </c>
      <c r="AA11" s="15" t="str">
        <f t="shared" si="1"/>
        <v>Improving</v>
      </c>
      <c r="AB11" s="20" t="s">
        <v>315</v>
      </c>
      <c r="AC11" s="63">
        <f t="shared" si="2"/>
        <v>1</v>
      </c>
      <c r="AD11" s="63">
        <f>IF(AC11="","",COUNTIF($AC$6:$AC$65,"&lt;"&amp;AC11)+COUNTIF($AC$6:AC11,AC11))</f>
        <v>1</v>
      </c>
      <c r="AE11" s="63">
        <f>IF(OR($A11="",$D11&lt;&gt;'Department view'!$C$4),"",COUNTIF($D$6:$D11,'Department view'!$C$4))</f>
        <v>1</v>
      </c>
    </row>
    <row r="12" spans="1:31" ht="25.5" x14ac:dyDescent="0.45">
      <c r="A12" s="15" t="str">
        <f>IF(Measures!$A12="","",Measures!$A12)</f>
        <v>K06</v>
      </c>
      <c r="B12" s="15" t="str">
        <f>IF(OR($A12="",Measures!$B12=""),"",Measures!$B12)</f>
        <v>KPI</v>
      </c>
      <c r="C12" s="15" t="str">
        <f>IF(OR($A12="",Measures!$C12=""),"",Measures!$C12)</f>
        <v>Net Promoter Score</v>
      </c>
      <c r="D12" s="15" t="str">
        <f>IF(OR($A12="",Measures!$F12=""),"",Measures!$F12)</f>
        <v>Marketing and service</v>
      </c>
      <c r="E12" s="15" t="str">
        <f>IF(OR($A12="",Measures!$E12=""),"",Measures!$E12)</f>
        <v>D3</v>
      </c>
      <c r="F12" s="15" t="str">
        <f>IF(OR($A12="",Measures!$G12=""),"",Measures!$G12)</f>
        <v>C2</v>
      </c>
      <c r="G12" s="15" t="str">
        <f>IF(OR($A12="",Measures!$O12=""),"",Measures!$O12)</f>
        <v>Head of Customer Service</v>
      </c>
      <c r="H12" s="15" t="str">
        <f>IF(OR($A12="",Measures!$J12=""),"",Measures!$J12)</f>
        <v>Higher</v>
      </c>
      <c r="I12" s="50">
        <f>IF(OR($A12="",Measures!$K12=""),"",Measures!$K12)</f>
        <v>40</v>
      </c>
      <c r="J12" s="50">
        <f>IF(OR($A12="",Measures!$L12=""),"",Measures!$L12)</f>
        <v>32</v>
      </c>
      <c r="K12" s="15" t="str">
        <f>IF(OR($A12="",Measures!$I12=""),"",Measures!$I12)</f>
        <v>Score</v>
      </c>
      <c r="L12" s="60">
        <v>30</v>
      </c>
      <c r="M12" s="60">
        <v>31</v>
      </c>
      <c r="N12" s="60">
        <v>33</v>
      </c>
      <c r="O12" s="60">
        <v>35</v>
      </c>
      <c r="P12" s="60">
        <v>36</v>
      </c>
      <c r="Q12" s="60">
        <v>38</v>
      </c>
      <c r="R12" s="60">
        <v>39</v>
      </c>
      <c r="S12" s="60">
        <v>40</v>
      </c>
      <c r="T12" s="60">
        <v>41</v>
      </c>
      <c r="U12" s="60"/>
      <c r="V12" s="60"/>
      <c r="W12" s="60"/>
      <c r="X12" s="61">
        <f>IF($A12="","",IF(INDEX($L12:$W12,Setup!$B$7)="","",INDEX($L12:$W12,Setup!$B$7)))</f>
        <v>41</v>
      </c>
      <c r="Y12" s="50">
        <f>IF(OR($A12="",Setup!$B$7&lt;2),"",IF(INDEX($L12:$W12,Setup!$B$7-1)="","",INDEX($L12:$W12,Setup!$B$7-1)))</f>
        <v>40</v>
      </c>
      <c r="Z12" s="32" t="str">
        <f t="shared" si="0"/>
        <v>Green</v>
      </c>
      <c r="AA12" s="15" t="str">
        <f t="shared" si="1"/>
        <v>Improving</v>
      </c>
      <c r="AB12" s="20"/>
      <c r="AC12" s="63" t="str">
        <f t="shared" si="2"/>
        <v/>
      </c>
      <c r="AD12" s="63" t="str">
        <f>IF(AC12="","",COUNTIF($AC$6:$AC$65,"&lt;"&amp;AC12)+COUNTIF($AC$6:AC12,AC12))</f>
        <v/>
      </c>
      <c r="AE12" s="63">
        <f>IF(OR($A12="",$D12&lt;&gt;'Department view'!$C$4),"",COUNTIF($D$6:$D12,'Department view'!$C$4))</f>
        <v>2</v>
      </c>
    </row>
    <row r="13" spans="1:31" ht="25.5" x14ac:dyDescent="0.45">
      <c r="A13" s="15" t="str">
        <f>IF(Measures!$A13="","",Measures!$A13)</f>
        <v>K07</v>
      </c>
      <c r="B13" s="15" t="str">
        <f>IF(OR($A13="",Measures!$B13=""),"",Measures!$B13)</f>
        <v>KPI</v>
      </c>
      <c r="C13" s="15" t="str">
        <f>IF(OR($A13="",Measures!$C13=""),"",Measures!$C13)</f>
        <v>First-contact resolution</v>
      </c>
      <c r="D13" s="15" t="str">
        <f>IF(OR($A13="",Measures!$F13=""),"",Measures!$F13)</f>
        <v>Marketing and service</v>
      </c>
      <c r="E13" s="15" t="str">
        <f>IF(OR($A13="",Measures!$E13=""),"",Measures!$E13)</f>
        <v>D4</v>
      </c>
      <c r="F13" s="15" t="str">
        <f>IF(OR($A13="",Measures!$G13=""),"",Measures!$G13)</f>
        <v>C2</v>
      </c>
      <c r="G13" s="15" t="str">
        <f>IF(OR($A13="",Measures!$O13=""),"",Measures!$O13)</f>
        <v>Head of Customer Service</v>
      </c>
      <c r="H13" s="15" t="str">
        <f>IF(OR($A13="",Measures!$J13=""),"",Measures!$J13)</f>
        <v>Higher</v>
      </c>
      <c r="I13" s="56">
        <f>IF(OR($A13="",Measures!$K13=""),"",Measures!$K13)</f>
        <v>0.8</v>
      </c>
      <c r="J13" s="56">
        <f>IF(OR($A13="",Measures!$L13=""),"",Measures!$L13)</f>
        <v>0.72</v>
      </c>
      <c r="K13" s="15" t="str">
        <f>IF(OR($A13="",Measures!$I13=""),"",Measures!$I13)</f>
        <v>%</v>
      </c>
      <c r="L13" s="64">
        <v>0.7</v>
      </c>
      <c r="M13" s="64">
        <v>0.71</v>
      </c>
      <c r="N13" s="64">
        <v>0.71</v>
      </c>
      <c r="O13" s="64">
        <v>0.73</v>
      </c>
      <c r="P13" s="64">
        <v>0.74</v>
      </c>
      <c r="Q13" s="64">
        <v>0.74</v>
      </c>
      <c r="R13" s="64">
        <v>0.75</v>
      </c>
      <c r="S13" s="64">
        <v>0.76</v>
      </c>
      <c r="T13" s="64">
        <v>0.76</v>
      </c>
      <c r="U13" s="64"/>
      <c r="V13" s="64"/>
      <c r="W13" s="64"/>
      <c r="X13" s="55">
        <f>IF($A13="","",IF(INDEX($L13:$W13,Setup!$B$7)="","",INDEX($L13:$W13,Setup!$B$7)))</f>
        <v>0.76</v>
      </c>
      <c r="Y13" s="56">
        <f>IF(OR($A13="",Setup!$B$7&lt;2),"",IF(INDEX($L13:$W13,Setup!$B$7-1)="","",INDEX($L13:$W13,Setup!$B$7-1)))</f>
        <v>0.76</v>
      </c>
      <c r="Z13" s="32" t="str">
        <f t="shared" si="0"/>
        <v>Amber</v>
      </c>
      <c r="AA13" s="15" t="str">
        <f t="shared" si="1"/>
        <v>Flat</v>
      </c>
      <c r="AB13" s="20"/>
      <c r="AC13" s="63">
        <f t="shared" si="2"/>
        <v>2</v>
      </c>
      <c r="AD13" s="63">
        <f>IF(AC13="","",COUNTIF($AC$6:$AC$65,"&lt;"&amp;AC13)+COUNTIF($AC$6:AC13,AC13))</f>
        <v>9</v>
      </c>
      <c r="AE13" s="63">
        <f>IF(OR($A13="",$D13&lt;&gt;'Department view'!$C$4),"",COUNTIF($D$6:$D13,'Department view'!$C$4))</f>
        <v>3</v>
      </c>
    </row>
    <row r="14" spans="1:31" ht="25.5" x14ac:dyDescent="0.45">
      <c r="A14" s="15" t="str">
        <f>IF(Measures!$A14="","",Measures!$A14)</f>
        <v>K08</v>
      </c>
      <c r="B14" s="15" t="str">
        <f>IF(OR($A14="",Measures!$B14=""),"",Measures!$B14)</f>
        <v>KPI</v>
      </c>
      <c r="C14" s="15" t="str">
        <f>IF(OR($A14="",Measures!$C14=""),"",Measures!$C14)</f>
        <v>Shelf availability</v>
      </c>
      <c r="D14" s="15" t="str">
        <f>IF(OR($A14="",Measures!$F14=""),"",Measures!$F14)</f>
        <v>Supply chain</v>
      </c>
      <c r="E14" s="15" t="str">
        <f>IF(OR($A14="",Measures!$E14=""),"",Measures!$E14)</f>
        <v>D5</v>
      </c>
      <c r="F14" s="15" t="str">
        <f>IF(OR($A14="",Measures!$G14=""),"",Measures!$G14)</f>
        <v>C3</v>
      </c>
      <c r="G14" s="15" t="str">
        <f>IF(OR($A14="",Measures!$O14=""),"",Measures!$O14)</f>
        <v>Head of Supply Chain</v>
      </c>
      <c r="H14" s="15" t="str">
        <f>IF(OR($A14="",Measures!$J14=""),"",Measures!$J14)</f>
        <v>Higher</v>
      </c>
      <c r="I14" s="56">
        <f>IF(OR($A14="",Measures!$K14=""),"",Measures!$K14)</f>
        <v>0.97</v>
      </c>
      <c r="J14" s="56">
        <f>IF(OR($A14="",Measures!$L14=""),"",Measures!$L14)</f>
        <v>0.95</v>
      </c>
      <c r="K14" s="15" t="str">
        <f>IF(OR($A14="",Measures!$I14=""),"",Measures!$I14)</f>
        <v>%</v>
      </c>
      <c r="L14" s="64">
        <v>0.94</v>
      </c>
      <c r="M14" s="64">
        <v>0.95</v>
      </c>
      <c r="N14" s="64">
        <v>0.96</v>
      </c>
      <c r="O14" s="64">
        <v>0.97</v>
      </c>
      <c r="P14" s="64">
        <v>0.97</v>
      </c>
      <c r="Q14" s="64">
        <v>0.98</v>
      </c>
      <c r="R14" s="64">
        <v>0.97</v>
      </c>
      <c r="S14" s="64">
        <v>0.98</v>
      </c>
      <c r="T14" s="64">
        <v>0.98</v>
      </c>
      <c r="U14" s="64"/>
      <c r="V14" s="64"/>
      <c r="W14" s="64"/>
      <c r="X14" s="55">
        <f>IF($A14="","",IF(INDEX($L14:$W14,Setup!$B$7)="","",INDEX($L14:$W14,Setup!$B$7)))</f>
        <v>0.98</v>
      </c>
      <c r="Y14" s="56">
        <f>IF(OR($A14="",Setup!$B$7&lt;2),"",IF(INDEX($L14:$W14,Setup!$B$7-1)="","",INDEX($L14:$W14,Setup!$B$7-1)))</f>
        <v>0.98</v>
      </c>
      <c r="Z14" s="32" t="str">
        <f t="shared" si="0"/>
        <v>Green</v>
      </c>
      <c r="AA14" s="15" t="str">
        <f t="shared" si="1"/>
        <v>Flat</v>
      </c>
      <c r="AB14" s="20"/>
      <c r="AC14" s="63" t="str">
        <f t="shared" si="2"/>
        <v/>
      </c>
      <c r="AD14" s="63" t="str">
        <f>IF(AC14="","",COUNTIF($AC$6:$AC$65,"&lt;"&amp;AC14)+COUNTIF($AC$6:AC14,AC14))</f>
        <v/>
      </c>
      <c r="AE14" s="63" t="str">
        <f>IF(OR($A14="",$D14&lt;&gt;'Department view'!$C$4),"",COUNTIF($D$6:$D14,'Department view'!$C$4))</f>
        <v/>
      </c>
    </row>
    <row r="15" spans="1:31" ht="25.5" x14ac:dyDescent="0.45">
      <c r="A15" s="15" t="str">
        <f>IF(Measures!$A15="","",Measures!$A15)</f>
        <v>K09</v>
      </c>
      <c r="B15" s="15" t="str">
        <f>IF(OR($A15="",Measures!$B15=""),"",Measures!$B15)</f>
        <v>KPI</v>
      </c>
      <c r="C15" s="15" t="str">
        <f>IF(OR($A15="",Measures!$C15=""),"",Measures!$C15)</f>
        <v>Inventory days</v>
      </c>
      <c r="D15" s="15" t="str">
        <f>IF(OR($A15="",Measures!$F15=""),"",Measures!$F15)</f>
        <v>Supply chain</v>
      </c>
      <c r="E15" s="15" t="str">
        <f>IF(OR($A15="",Measures!$E15=""),"",Measures!$E15)</f>
        <v>D5</v>
      </c>
      <c r="F15" s="15" t="str">
        <f>IF(OR($A15="",Measures!$G15=""),"",Measures!$G15)</f>
        <v>C3</v>
      </c>
      <c r="G15" s="15" t="str">
        <f>IF(OR($A15="",Measures!$O15=""),"",Measures!$O15)</f>
        <v>Head of Supply Chain</v>
      </c>
      <c r="H15" s="15" t="str">
        <f>IF(OR($A15="",Measures!$J15=""),"",Measures!$J15)</f>
        <v>Lower</v>
      </c>
      <c r="I15" s="50">
        <f>IF(OR($A15="",Measures!$K15=""),"",Measures!$K15)</f>
        <v>50</v>
      </c>
      <c r="J15" s="50">
        <f>IF(OR($A15="",Measures!$L15=""),"",Measures!$L15)</f>
        <v>56</v>
      </c>
      <c r="K15" s="15" t="str">
        <f>IF(OR($A15="",Measures!$I15=""),"",Measures!$I15)</f>
        <v>Days</v>
      </c>
      <c r="L15" s="60">
        <v>61</v>
      </c>
      <c r="M15" s="60">
        <v>60</v>
      </c>
      <c r="N15" s="60">
        <v>58</v>
      </c>
      <c r="O15" s="60">
        <v>57</v>
      </c>
      <c r="P15" s="60">
        <v>55</v>
      </c>
      <c r="Q15" s="60">
        <v>54</v>
      </c>
      <c r="R15" s="60">
        <v>53</v>
      </c>
      <c r="S15" s="60">
        <v>53</v>
      </c>
      <c r="T15" s="60">
        <v>52</v>
      </c>
      <c r="U15" s="60"/>
      <c r="V15" s="60"/>
      <c r="W15" s="60"/>
      <c r="X15" s="61">
        <f>IF($A15="","",IF(INDEX($L15:$W15,Setup!$B$7)="","",INDEX($L15:$W15,Setup!$B$7)))</f>
        <v>52</v>
      </c>
      <c r="Y15" s="50">
        <f>IF(OR($A15="",Setup!$B$7&lt;2),"",IF(INDEX($L15:$W15,Setup!$B$7-1)="","",INDEX($L15:$W15,Setup!$B$7-1)))</f>
        <v>53</v>
      </c>
      <c r="Z15" s="32" t="str">
        <f t="shared" si="0"/>
        <v>Amber</v>
      </c>
      <c r="AA15" s="15" t="str">
        <f t="shared" si="1"/>
        <v>Improving</v>
      </c>
      <c r="AB15" s="20"/>
      <c r="AC15" s="63">
        <f t="shared" si="2"/>
        <v>2</v>
      </c>
      <c r="AD15" s="63">
        <f>IF(AC15="","",COUNTIF($AC$6:$AC$65,"&lt;"&amp;AC15)+COUNTIF($AC$6:AC15,AC15))</f>
        <v>10</v>
      </c>
      <c r="AE15" s="63" t="str">
        <f>IF(OR($A15="",$D15&lt;&gt;'Department view'!$C$4),"",COUNTIF($D$6:$D15,'Department view'!$C$4))</f>
        <v/>
      </c>
    </row>
    <row r="16" spans="1:31" ht="25.5" x14ac:dyDescent="0.45">
      <c r="A16" s="15" t="str">
        <f>IF(Measures!$A16="","",Measures!$A16)</f>
        <v>R03</v>
      </c>
      <c r="B16" s="15" t="str">
        <f>IF(OR($A16="",Measures!$B16=""),"",Measures!$B16)</f>
        <v>KRI</v>
      </c>
      <c r="C16" s="15" t="str">
        <f>IF(OR($A16="",Measures!$C16=""),"",Measures!$C16)</f>
        <v>Share of purchases from top supplier</v>
      </c>
      <c r="D16" s="15" t="str">
        <f>IF(OR($A16="",Measures!$F16=""),"",Measures!$F16)</f>
        <v>Supply chain</v>
      </c>
      <c r="E16" s="15" t="str">
        <f>IF(OR($A16="",Measures!$E16=""),"",Measures!$E16)</f>
        <v>D5</v>
      </c>
      <c r="F16" s="15" t="str">
        <f>IF(OR($A16="",Measures!$G16=""),"",Measures!$G16)</f>
        <v>C3</v>
      </c>
      <c r="G16" s="15" t="str">
        <f>IF(OR($A16="",Measures!$O16=""),"",Measures!$O16)</f>
        <v>Head of Procurement</v>
      </c>
      <c r="H16" s="15" t="str">
        <f>IF(OR($A16="",Measures!$J16=""),"",Measures!$J16)</f>
        <v>Lower</v>
      </c>
      <c r="I16" s="56">
        <f>IF(OR($A16="",Measures!$K16=""),"",Measures!$K16)</f>
        <v>0.25</v>
      </c>
      <c r="J16" s="56">
        <f>IF(OR($A16="",Measures!$L16=""),"",Measures!$L16)</f>
        <v>0.35</v>
      </c>
      <c r="K16" s="15" t="str">
        <f>IF(OR($A16="",Measures!$I16=""),"",Measures!$I16)</f>
        <v>%</v>
      </c>
      <c r="L16" s="64">
        <v>0.3</v>
      </c>
      <c r="M16" s="64">
        <v>0.31</v>
      </c>
      <c r="N16" s="64">
        <v>0.28999999999999998</v>
      </c>
      <c r="O16" s="64">
        <v>0.28000000000000003</v>
      </c>
      <c r="P16" s="64">
        <v>0.27</v>
      </c>
      <c r="Q16" s="64">
        <v>0.26</v>
      </c>
      <c r="R16" s="64">
        <v>0.26</v>
      </c>
      <c r="S16" s="64">
        <v>0.25</v>
      </c>
      <c r="T16" s="64">
        <v>0.25</v>
      </c>
      <c r="U16" s="64"/>
      <c r="V16" s="64"/>
      <c r="W16" s="64"/>
      <c r="X16" s="55">
        <f>IF($A16="","",IF(INDEX($L16:$W16,Setup!$B$7)="","",INDEX($L16:$W16,Setup!$B$7)))</f>
        <v>0.25</v>
      </c>
      <c r="Y16" s="56">
        <f>IF(OR($A16="",Setup!$B$7&lt;2),"",IF(INDEX($L16:$W16,Setup!$B$7-1)="","",INDEX($L16:$W16,Setup!$B$7-1)))</f>
        <v>0.25</v>
      </c>
      <c r="Z16" s="32" t="str">
        <f t="shared" si="0"/>
        <v>Green</v>
      </c>
      <c r="AA16" s="15" t="str">
        <f t="shared" si="1"/>
        <v>Flat</v>
      </c>
      <c r="AB16" s="20"/>
      <c r="AC16" s="63" t="str">
        <f t="shared" si="2"/>
        <v/>
      </c>
      <c r="AD16" s="63" t="str">
        <f>IF(AC16="","",COUNTIF($AC$6:$AC$65,"&lt;"&amp;AC16)+COUNTIF($AC$6:AC16,AC16))</f>
        <v/>
      </c>
      <c r="AE16" s="63" t="str">
        <f>IF(OR($A16="",$D16&lt;&gt;'Department view'!$C$4),"",COUNTIF($D$6:$D16,'Department view'!$C$4))</f>
        <v/>
      </c>
    </row>
    <row r="17" spans="1:31" ht="25.5" x14ac:dyDescent="0.45">
      <c r="A17" s="15" t="str">
        <f>IF(Measures!$A17="","",Measures!$A17)</f>
        <v>R04</v>
      </c>
      <c r="B17" s="15" t="str">
        <f>IF(OR($A17="",Measures!$B17=""),"",Measures!$B17)</f>
        <v>KRI</v>
      </c>
      <c r="C17" s="15" t="str">
        <f>IF(OR($A17="",Measures!$C17=""),"",Measures!$C17)</f>
        <v>Stock write-offs as % of sales</v>
      </c>
      <c r="D17" s="15" t="str">
        <f>IF(OR($A17="",Measures!$F17=""),"",Measures!$F17)</f>
        <v>Supply chain</v>
      </c>
      <c r="E17" s="15" t="str">
        <f>IF(OR($A17="",Measures!$E17=""),"",Measures!$E17)</f>
        <v>D5</v>
      </c>
      <c r="F17" s="15" t="str">
        <f>IF(OR($A17="",Measures!$G17=""),"",Measures!$G17)</f>
        <v>C3</v>
      </c>
      <c r="G17" s="15" t="str">
        <f>IF(OR($A17="",Measures!$O17=""),"",Measures!$O17)</f>
        <v>Head of Supply Chain</v>
      </c>
      <c r="H17" s="15" t="str">
        <f>IF(OR($A17="",Measures!$J17=""),"",Measures!$J17)</f>
        <v>Lower</v>
      </c>
      <c r="I17" s="56">
        <f>IF(OR($A17="",Measures!$K17=""),"",Measures!$K17)</f>
        <v>5.0000000000000001E-3</v>
      </c>
      <c r="J17" s="56">
        <f>IF(OR($A17="",Measures!$L17=""),"",Measures!$L17)</f>
        <v>8.0000000000000002E-3</v>
      </c>
      <c r="K17" s="15" t="str">
        <f>IF(OR($A17="",Measures!$I17=""),"",Measures!$I17)</f>
        <v>%</v>
      </c>
      <c r="L17" s="64">
        <v>6.0000000000000001E-3</v>
      </c>
      <c r="M17" s="64">
        <v>6.0000000000000001E-3</v>
      </c>
      <c r="N17" s="64">
        <v>7.0000000000000001E-3</v>
      </c>
      <c r="O17" s="64">
        <v>7.0000000000000001E-3</v>
      </c>
      <c r="P17" s="64">
        <v>7.0000000000000001E-3</v>
      </c>
      <c r="Q17" s="64">
        <v>8.0000000000000002E-3</v>
      </c>
      <c r="R17" s="64">
        <v>8.0000000000000002E-3</v>
      </c>
      <c r="S17" s="64">
        <v>8.9999999999999993E-3</v>
      </c>
      <c r="T17" s="64">
        <v>8.9999999999999993E-3</v>
      </c>
      <c r="U17" s="64"/>
      <c r="V17" s="64"/>
      <c r="W17" s="64"/>
      <c r="X17" s="55">
        <f>IF($A17="","",IF(INDEX($L17:$W17,Setup!$B$7)="","",INDEX($L17:$W17,Setup!$B$7)))</f>
        <v>8.9999999999999993E-3</v>
      </c>
      <c r="Y17" s="56">
        <f>IF(OR($A17="",Setup!$B$7&lt;2),"",IF(INDEX($L17:$W17,Setup!$B$7-1)="","",INDEX($L17:$W17,Setup!$B$7-1)))</f>
        <v>8.9999999999999993E-3</v>
      </c>
      <c r="Z17" s="32" t="str">
        <f t="shared" si="0"/>
        <v>Red</v>
      </c>
      <c r="AA17" s="15" t="str">
        <f t="shared" si="1"/>
        <v>Flat</v>
      </c>
      <c r="AB17" s="20" t="s">
        <v>316</v>
      </c>
      <c r="AC17" s="63">
        <f t="shared" si="2"/>
        <v>1</v>
      </c>
      <c r="AD17" s="63">
        <f>IF(AC17="","",COUNTIF($AC$6:$AC$65,"&lt;"&amp;AC17)+COUNTIF($AC$6:AC17,AC17))</f>
        <v>2</v>
      </c>
      <c r="AE17" s="63" t="str">
        <f>IF(OR($A17="",$D17&lt;&gt;'Department view'!$C$4),"",COUNTIF($D$6:$D17,'Department view'!$C$4))</f>
        <v/>
      </c>
    </row>
    <row r="18" spans="1:31" x14ac:dyDescent="0.45">
      <c r="A18" s="15" t="str">
        <f>IF(Measures!$A18="","",Measures!$A18)</f>
        <v>K10</v>
      </c>
      <c r="B18" s="15" t="str">
        <f>IF(OR($A18="",Measures!$B18=""),"",Measures!$B18)</f>
        <v>KPI</v>
      </c>
      <c r="C18" s="15" t="str">
        <f>IF(OR($A18="",Measures!$C18=""),"",Measures!$C18)</f>
        <v>Gross margin</v>
      </c>
      <c r="D18" s="15" t="str">
        <f>IF(OR($A18="",Measures!$F18=""),"",Measures!$F18)</f>
        <v>Finance</v>
      </c>
      <c r="E18" s="15" t="str">
        <f>IF(OR($A18="",Measures!$E18=""),"",Measures!$E18)</f>
        <v>D6</v>
      </c>
      <c r="F18" s="15" t="str">
        <f>IF(OR($A18="",Measures!$G18=""),"",Measures!$G18)</f>
        <v>C3</v>
      </c>
      <c r="G18" s="15" t="str">
        <f>IF(OR($A18="",Measures!$O18=""),"",Measures!$O18)</f>
        <v>CFO</v>
      </c>
      <c r="H18" s="15" t="str">
        <f>IF(OR($A18="",Measures!$J18=""),"",Measures!$J18)</f>
        <v>Higher</v>
      </c>
      <c r="I18" s="56">
        <f>IF(OR($A18="",Measures!$K18=""),"",Measures!$K18)</f>
        <v>0.33</v>
      </c>
      <c r="J18" s="56">
        <f>IF(OR($A18="",Measures!$L18=""),"",Measures!$L18)</f>
        <v>0.315</v>
      </c>
      <c r="K18" s="15" t="str">
        <f>IF(OR($A18="",Measures!$I18=""),"",Measures!$I18)</f>
        <v>%</v>
      </c>
      <c r="L18" s="64">
        <v>0.312</v>
      </c>
      <c r="M18" s="64">
        <v>0.315</v>
      </c>
      <c r="N18" s="64">
        <v>0.318</v>
      </c>
      <c r="O18" s="64">
        <v>0.32200000000000001</v>
      </c>
      <c r="P18" s="64">
        <v>0.32500000000000001</v>
      </c>
      <c r="Q18" s="64">
        <v>0.33</v>
      </c>
      <c r="R18" s="64">
        <v>0.33100000000000002</v>
      </c>
      <c r="S18" s="64">
        <v>0.32900000000000001</v>
      </c>
      <c r="T18" s="64">
        <v>0.33200000000000002</v>
      </c>
      <c r="U18" s="64"/>
      <c r="V18" s="64"/>
      <c r="W18" s="64"/>
      <c r="X18" s="55">
        <f>IF($A18="","",IF(INDEX($L18:$W18,Setup!$B$7)="","",INDEX($L18:$W18,Setup!$B$7)))</f>
        <v>0.33200000000000002</v>
      </c>
      <c r="Y18" s="56">
        <f>IF(OR($A18="",Setup!$B$7&lt;2),"",IF(INDEX($L18:$W18,Setup!$B$7-1)="","",INDEX($L18:$W18,Setup!$B$7-1)))</f>
        <v>0.32900000000000001</v>
      </c>
      <c r="Z18" s="32" t="str">
        <f t="shared" si="0"/>
        <v>Green</v>
      </c>
      <c r="AA18" s="15" t="str">
        <f t="shared" si="1"/>
        <v>Improving</v>
      </c>
      <c r="AB18" s="20"/>
      <c r="AC18" s="63" t="str">
        <f t="shared" si="2"/>
        <v/>
      </c>
      <c r="AD18" s="63" t="str">
        <f>IF(AC18="","",COUNTIF($AC$6:$AC$65,"&lt;"&amp;AC18)+COUNTIF($AC$6:AC18,AC18))</f>
        <v/>
      </c>
      <c r="AE18" s="63" t="str">
        <f>IF(OR($A18="",$D18&lt;&gt;'Department view'!$C$4),"",COUNTIF($D$6:$D18,'Department view'!$C$4))</f>
        <v/>
      </c>
    </row>
    <row r="19" spans="1:31" x14ac:dyDescent="0.45">
      <c r="A19" s="15" t="str">
        <f>IF(Measures!$A19="","",Measures!$A19)</f>
        <v>K11</v>
      </c>
      <c r="B19" s="15" t="str">
        <f>IF(OR($A19="",Measures!$B19=""),"",Measures!$B19)</f>
        <v>KPI</v>
      </c>
      <c r="C19" s="15" t="str">
        <f>IF(OR($A19="",Measures!$C19=""),"",Measures!$C19)</f>
        <v>Operating cost as % of sales</v>
      </c>
      <c r="D19" s="15" t="str">
        <f>IF(OR($A19="",Measures!$F19=""),"",Measures!$F19)</f>
        <v>Finance</v>
      </c>
      <c r="E19" s="15" t="str">
        <f>IF(OR($A19="",Measures!$E19=""),"",Measures!$E19)</f>
        <v>D6</v>
      </c>
      <c r="F19" s="15" t="str">
        <f>IF(OR($A19="",Measures!$G19=""),"",Measures!$G19)</f>
        <v>C3</v>
      </c>
      <c r="G19" s="15" t="str">
        <f>IF(OR($A19="",Measures!$O19=""),"",Measures!$O19)</f>
        <v>CFO</v>
      </c>
      <c r="H19" s="15" t="str">
        <f>IF(OR($A19="",Measures!$J19=""),"",Measures!$J19)</f>
        <v>Lower</v>
      </c>
      <c r="I19" s="56">
        <f>IF(OR($A19="",Measures!$K19=""),"",Measures!$K19)</f>
        <v>0.22</v>
      </c>
      <c r="J19" s="56">
        <f>IF(OR($A19="",Measures!$L19=""),"",Measures!$L19)</f>
        <v>0.24</v>
      </c>
      <c r="K19" s="15" t="str">
        <f>IF(OR($A19="",Measures!$I19=""),"",Measures!$I19)</f>
        <v>%</v>
      </c>
      <c r="L19" s="64">
        <v>0.245</v>
      </c>
      <c r="M19" s="64">
        <v>0.24299999999999999</v>
      </c>
      <c r="N19" s="64">
        <v>0.24</v>
      </c>
      <c r="O19" s="64">
        <v>0.23799999999999999</v>
      </c>
      <c r="P19" s="64">
        <v>0.23599999999999999</v>
      </c>
      <c r="Q19" s="64">
        <v>0.23499999999999999</v>
      </c>
      <c r="R19" s="64">
        <v>0.23400000000000001</v>
      </c>
      <c r="S19" s="64">
        <v>0.23300000000000001</v>
      </c>
      <c r="T19" s="64">
        <v>0.23200000000000001</v>
      </c>
      <c r="U19" s="64"/>
      <c r="V19" s="64"/>
      <c r="W19" s="64"/>
      <c r="X19" s="55">
        <f>IF($A19="","",IF(INDEX($L19:$W19,Setup!$B$7)="","",INDEX($L19:$W19,Setup!$B$7)))</f>
        <v>0.23200000000000001</v>
      </c>
      <c r="Y19" s="56">
        <f>IF(OR($A19="",Setup!$B$7&lt;2),"",IF(INDEX($L19:$W19,Setup!$B$7-1)="","",INDEX($L19:$W19,Setup!$B$7-1)))</f>
        <v>0.23300000000000001</v>
      </c>
      <c r="Z19" s="32" t="str">
        <f t="shared" si="0"/>
        <v>Amber</v>
      </c>
      <c r="AA19" s="15" t="str">
        <f t="shared" si="1"/>
        <v>Improving</v>
      </c>
      <c r="AB19" s="20"/>
      <c r="AC19" s="63">
        <f t="shared" si="2"/>
        <v>2</v>
      </c>
      <c r="AD19" s="63">
        <f>IF(AC19="","",COUNTIF($AC$6:$AC$65,"&lt;"&amp;AC19)+COUNTIF($AC$6:AC19,AC19))</f>
        <v>11</v>
      </c>
      <c r="AE19" s="63" t="str">
        <f>IF(OR($A19="",$D19&lt;&gt;'Department view'!$C$4),"",COUNTIF($D$6:$D19,'Department view'!$C$4))</f>
        <v/>
      </c>
    </row>
    <row r="20" spans="1:31" ht="25.5" x14ac:dyDescent="0.45">
      <c r="A20" s="15" t="str">
        <f>IF(Measures!$A20="","",Measures!$A20)</f>
        <v>R01</v>
      </c>
      <c r="B20" s="15" t="str">
        <f>IF(OR($A20="",Measures!$B20=""),"",Measures!$B20)</f>
        <v>KRI</v>
      </c>
      <c r="C20" s="15" t="str">
        <f>IF(OR($A20="",Measures!$C20=""),"",Measures!$C20)</f>
        <v>Receivables over 90 days</v>
      </c>
      <c r="D20" s="15" t="str">
        <f>IF(OR($A20="",Measures!$F20=""),"",Measures!$F20)</f>
        <v>Finance</v>
      </c>
      <c r="E20" s="15" t="str">
        <f>IF(OR($A20="",Measures!$E20=""),"",Measures!$E20)</f>
        <v>D6</v>
      </c>
      <c r="F20" s="15" t="str">
        <f>IF(OR($A20="",Measures!$G20=""),"",Measures!$G20)</f>
        <v>C3</v>
      </c>
      <c r="G20" s="15" t="str">
        <f>IF(OR($A20="",Measures!$O20=""),"",Measures!$O20)</f>
        <v>Credit Manager</v>
      </c>
      <c r="H20" s="15" t="str">
        <f>IF(OR($A20="",Measures!$J20=""),"",Measures!$J20)</f>
        <v>Lower</v>
      </c>
      <c r="I20" s="56">
        <f>IF(OR($A20="",Measures!$K20=""),"",Measures!$K20)</f>
        <v>0.05</v>
      </c>
      <c r="J20" s="56">
        <f>IF(OR($A20="",Measures!$L20=""),"",Measures!$L20)</f>
        <v>0.08</v>
      </c>
      <c r="K20" s="15" t="str">
        <f>IF(OR($A20="",Measures!$I20=""),"",Measures!$I20)</f>
        <v>%</v>
      </c>
      <c r="L20" s="64">
        <v>0.04</v>
      </c>
      <c r="M20" s="64">
        <v>0.05</v>
      </c>
      <c r="N20" s="64">
        <v>0.06</v>
      </c>
      <c r="O20" s="64">
        <v>0.06</v>
      </c>
      <c r="P20" s="64">
        <v>7.0000000000000007E-2</v>
      </c>
      <c r="Q20" s="64">
        <v>7.4999999999999997E-2</v>
      </c>
      <c r="R20" s="64">
        <v>0.08</v>
      </c>
      <c r="S20" s="64">
        <v>0.09</v>
      </c>
      <c r="T20" s="64">
        <v>9.5000000000000001E-2</v>
      </c>
      <c r="U20" s="64"/>
      <c r="V20" s="64"/>
      <c r="W20" s="64"/>
      <c r="X20" s="55">
        <f>IF($A20="","",IF(INDEX($L20:$W20,Setup!$B$7)="","",INDEX($L20:$W20,Setup!$B$7)))</f>
        <v>9.5000000000000001E-2</v>
      </c>
      <c r="Y20" s="56">
        <f>IF(OR($A20="",Setup!$B$7&lt;2),"",IF(INDEX($L20:$W20,Setup!$B$7-1)="","",INDEX($L20:$W20,Setup!$B$7-1)))</f>
        <v>0.09</v>
      </c>
      <c r="Z20" s="32" t="str">
        <f t="shared" si="0"/>
        <v>Red</v>
      </c>
      <c r="AA20" s="15" t="str">
        <f t="shared" si="1"/>
        <v>Worsening</v>
      </c>
      <c r="AB20" s="20" t="s">
        <v>317</v>
      </c>
      <c r="AC20" s="63">
        <f t="shared" si="2"/>
        <v>1</v>
      </c>
      <c r="AD20" s="63">
        <f>IF(AC20="","",COUNTIF($AC$6:$AC$65,"&lt;"&amp;AC20)+COUNTIF($AC$6:AC20,AC20))</f>
        <v>3</v>
      </c>
      <c r="AE20" s="63" t="str">
        <f>IF(OR($A20="",$D20&lt;&gt;'Department view'!$C$4),"",COUNTIF($D$6:$D20,'Department view'!$C$4))</f>
        <v/>
      </c>
    </row>
    <row r="21" spans="1:31" x14ac:dyDescent="0.45">
      <c r="A21" s="15" t="str">
        <f>IF(Measures!$A21="","",Measures!$A21)</f>
        <v>R02</v>
      </c>
      <c r="B21" s="15" t="str">
        <f>IF(OR($A21="",Measures!$B21=""),"",Measures!$B21)</f>
        <v>KRI</v>
      </c>
      <c r="C21" s="15" t="str">
        <f>IF(OR($A21="",Measures!$C21=""),"",Measures!$C21)</f>
        <v>Months of cash cover</v>
      </c>
      <c r="D21" s="15" t="str">
        <f>IF(OR($A21="",Measures!$F21=""),"",Measures!$F21)</f>
        <v>Finance</v>
      </c>
      <c r="E21" s="15" t="str">
        <f>IF(OR($A21="",Measures!$E21=""),"",Measures!$E21)</f>
        <v>D6</v>
      </c>
      <c r="F21" s="15" t="str">
        <f>IF(OR($A21="",Measures!$G21=""),"",Measures!$G21)</f>
        <v>C3</v>
      </c>
      <c r="G21" s="15" t="str">
        <f>IF(OR($A21="",Measures!$O21=""),"",Measures!$O21)</f>
        <v>CFO</v>
      </c>
      <c r="H21" s="15" t="str">
        <f>IF(OR($A21="",Measures!$J21=""),"",Measures!$J21)</f>
        <v>Higher</v>
      </c>
      <c r="I21" s="59">
        <f>IF(OR($A21="",Measures!$K21=""),"",Measures!$K21)</f>
        <v>3</v>
      </c>
      <c r="J21" s="59">
        <f>IF(OR($A21="",Measures!$L21=""),"",Measures!$L21)</f>
        <v>2</v>
      </c>
      <c r="K21" s="15" t="str">
        <f>IF(OR($A21="",Measures!$I21=""),"",Measures!$I21)</f>
        <v>Months</v>
      </c>
      <c r="L21" s="66">
        <v>3.4</v>
      </c>
      <c r="M21" s="66">
        <v>3.3</v>
      </c>
      <c r="N21" s="66">
        <v>3.1</v>
      </c>
      <c r="O21" s="66">
        <v>3</v>
      </c>
      <c r="P21" s="66">
        <v>2.8</v>
      </c>
      <c r="Q21" s="66">
        <v>2.7</v>
      </c>
      <c r="R21" s="66">
        <v>2.7</v>
      </c>
      <c r="S21" s="66">
        <v>2.6</v>
      </c>
      <c r="T21" s="66">
        <v>2.6</v>
      </c>
      <c r="U21" s="66"/>
      <c r="V21" s="66"/>
      <c r="W21" s="66"/>
      <c r="X21" s="58">
        <f>IF($A21="","",IF(INDEX($L21:$W21,Setup!$B$7)="","",INDEX($L21:$W21,Setup!$B$7)))</f>
        <v>2.6</v>
      </c>
      <c r="Y21" s="59">
        <f>IF(OR($A21="",Setup!$B$7&lt;2),"",IF(INDEX($L21:$W21,Setup!$B$7-1)="","",INDEX($L21:$W21,Setup!$B$7-1)))</f>
        <v>2.6</v>
      </c>
      <c r="Z21" s="32" t="str">
        <f t="shared" si="0"/>
        <v>Amber</v>
      </c>
      <c r="AA21" s="15" t="str">
        <f t="shared" si="1"/>
        <v>Flat</v>
      </c>
      <c r="AB21" s="20"/>
      <c r="AC21" s="63">
        <f t="shared" si="2"/>
        <v>2</v>
      </c>
      <c r="AD21" s="63">
        <f>IF(AC21="","",COUNTIF($AC$6:$AC$65,"&lt;"&amp;AC21)+COUNTIF($AC$6:AC21,AC21))</f>
        <v>12</v>
      </c>
      <c r="AE21" s="63" t="str">
        <f>IF(OR($A21="",$D21&lt;&gt;'Department view'!$C$4),"",COUNTIF($D$6:$D21,'Department view'!$C$4))</f>
        <v/>
      </c>
    </row>
    <row r="22" spans="1:31" ht="25.5" x14ac:dyDescent="0.45">
      <c r="A22" s="15" t="str">
        <f>IF(Measures!$A22="","",Measures!$A22)</f>
        <v>K12</v>
      </c>
      <c r="B22" s="15" t="str">
        <f>IF(OR($A22="",Measures!$B22=""),"",Measures!$B22)</f>
        <v>KPI</v>
      </c>
      <c r="C22" s="15" t="str">
        <f>IF(OR($A22="",Measures!$C22=""),"",Measures!$C22)</f>
        <v>Staff turnover (rolling 12 months)</v>
      </c>
      <c r="D22" s="15" t="str">
        <f>IF(OR($A22="",Measures!$F22=""),"",Measures!$F22)</f>
        <v>People (HR)</v>
      </c>
      <c r="E22" s="15" t="str">
        <f>IF(OR($A22="",Measures!$E22=""),"",Measures!$E22)</f>
        <v>D7</v>
      </c>
      <c r="F22" s="15" t="str">
        <f>IF(OR($A22="",Measures!$G22=""),"",Measures!$G22)</f>
        <v>C4</v>
      </c>
      <c r="G22" s="15" t="str">
        <f>IF(OR($A22="",Measures!$O22=""),"",Measures!$O22)</f>
        <v>HR Director</v>
      </c>
      <c r="H22" s="15" t="str">
        <f>IF(OR($A22="",Measures!$J22=""),"",Measures!$J22)</f>
        <v>Lower</v>
      </c>
      <c r="I22" s="56">
        <f>IF(OR($A22="",Measures!$K22=""),"",Measures!$K22)</f>
        <v>0.2</v>
      </c>
      <c r="J22" s="56">
        <f>IF(OR($A22="",Measures!$L22=""),"",Measures!$L22)</f>
        <v>0.24</v>
      </c>
      <c r="K22" s="15" t="str">
        <f>IF(OR($A22="",Measures!$I22=""),"",Measures!$I22)</f>
        <v>%</v>
      </c>
      <c r="L22" s="64">
        <v>0.27</v>
      </c>
      <c r="M22" s="64">
        <v>0.27</v>
      </c>
      <c r="N22" s="64">
        <v>0.26</v>
      </c>
      <c r="O22" s="64">
        <v>0.26</v>
      </c>
      <c r="P22" s="64">
        <v>0.25</v>
      </c>
      <c r="Q22" s="64">
        <v>0.25</v>
      </c>
      <c r="R22" s="64">
        <v>0.25</v>
      </c>
      <c r="S22" s="64">
        <v>0.245</v>
      </c>
      <c r="T22" s="64">
        <v>0.245</v>
      </c>
      <c r="U22" s="64"/>
      <c r="V22" s="64"/>
      <c r="W22" s="64"/>
      <c r="X22" s="55">
        <f>IF($A22="","",IF(INDEX($L22:$W22,Setup!$B$7)="","",INDEX($L22:$W22,Setup!$B$7)))</f>
        <v>0.245</v>
      </c>
      <c r="Y22" s="56">
        <f>IF(OR($A22="",Setup!$B$7&lt;2),"",IF(INDEX($L22:$W22,Setup!$B$7-1)="","",INDEX($L22:$W22,Setup!$B$7-1)))</f>
        <v>0.245</v>
      </c>
      <c r="Z22" s="32" t="str">
        <f t="shared" si="0"/>
        <v>Red</v>
      </c>
      <c r="AA22" s="15" t="str">
        <f t="shared" si="1"/>
        <v>Flat</v>
      </c>
      <c r="AB22" s="20" t="s">
        <v>318</v>
      </c>
      <c r="AC22" s="63">
        <f t="shared" si="2"/>
        <v>1</v>
      </c>
      <c r="AD22" s="63">
        <f>IF(AC22="","",COUNTIF($AC$6:$AC$65,"&lt;"&amp;AC22)+COUNTIF($AC$6:AC22,AC22))</f>
        <v>4</v>
      </c>
      <c r="AE22" s="63" t="str">
        <f>IF(OR($A22="",$D22&lt;&gt;'Department view'!$C$4),"",COUNTIF($D$6:$D22,'Department view'!$C$4))</f>
        <v/>
      </c>
    </row>
    <row r="23" spans="1:31" x14ac:dyDescent="0.45">
      <c r="A23" s="15" t="str">
        <f>IF(Measures!$A23="","",Measures!$A23)</f>
        <v>K13</v>
      </c>
      <c r="B23" s="15" t="str">
        <f>IF(OR($A23="",Measures!$B23=""),"",Measures!$B23)</f>
        <v>KPI</v>
      </c>
      <c r="C23" s="15" t="str">
        <f>IF(OR($A23="",Measures!$C23=""),"",Measures!$C23)</f>
        <v>Time to hire</v>
      </c>
      <c r="D23" s="15" t="str">
        <f>IF(OR($A23="",Measures!$F23=""),"",Measures!$F23)</f>
        <v>People (HR)</v>
      </c>
      <c r="E23" s="15" t="str">
        <f>IF(OR($A23="",Measures!$E23=""),"",Measures!$E23)</f>
        <v>D7</v>
      </c>
      <c r="F23" s="15" t="str">
        <f>IF(OR($A23="",Measures!$G23=""),"",Measures!$G23)</f>
        <v>C4</v>
      </c>
      <c r="G23" s="15" t="str">
        <f>IF(OR($A23="",Measures!$O23=""),"",Measures!$O23)</f>
        <v>HR Director</v>
      </c>
      <c r="H23" s="15" t="str">
        <f>IF(OR($A23="",Measures!$J23=""),"",Measures!$J23)</f>
        <v>Lower</v>
      </c>
      <c r="I23" s="50">
        <f>IF(OR($A23="",Measures!$K23=""),"",Measures!$K23)</f>
        <v>35</v>
      </c>
      <c r="J23" s="50">
        <f>IF(OR($A23="",Measures!$L23=""),"",Measures!$L23)</f>
        <v>45</v>
      </c>
      <c r="K23" s="15" t="str">
        <f>IF(OR($A23="",Measures!$I23=""),"",Measures!$I23)</f>
        <v>Days</v>
      </c>
      <c r="L23" s="60">
        <v>52</v>
      </c>
      <c r="M23" s="60">
        <v>50</v>
      </c>
      <c r="N23" s="60">
        <v>49</v>
      </c>
      <c r="O23" s="60">
        <v>47</v>
      </c>
      <c r="P23" s="60">
        <v>45</v>
      </c>
      <c r="Q23" s="60">
        <v>44</v>
      </c>
      <c r="R23" s="60">
        <v>43</v>
      </c>
      <c r="S23" s="60">
        <v>42</v>
      </c>
      <c r="T23" s="60">
        <v>41</v>
      </c>
      <c r="U23" s="60"/>
      <c r="V23" s="60"/>
      <c r="W23" s="60"/>
      <c r="X23" s="61">
        <f>IF($A23="","",IF(INDEX($L23:$W23,Setup!$B$7)="","",INDEX($L23:$W23,Setup!$B$7)))</f>
        <v>41</v>
      </c>
      <c r="Y23" s="50">
        <f>IF(OR($A23="",Setup!$B$7&lt;2),"",IF(INDEX($L23:$W23,Setup!$B$7-1)="","",INDEX($L23:$W23,Setup!$B$7-1)))</f>
        <v>42</v>
      </c>
      <c r="Z23" s="32" t="str">
        <f t="shared" si="0"/>
        <v>Amber</v>
      </c>
      <c r="AA23" s="15" t="str">
        <f t="shared" si="1"/>
        <v>Improving</v>
      </c>
      <c r="AB23" s="20"/>
      <c r="AC23" s="63">
        <f t="shared" si="2"/>
        <v>2</v>
      </c>
      <c r="AD23" s="63">
        <f>IF(AC23="","",COUNTIF($AC$6:$AC$65,"&lt;"&amp;AC23)+COUNTIF($AC$6:AC23,AC23))</f>
        <v>13</v>
      </c>
      <c r="AE23" s="63" t="str">
        <f>IF(OR($A23="",$D23&lt;&gt;'Department view'!$C$4),"",COUNTIF($D$6:$D23,'Department view'!$C$4))</f>
        <v/>
      </c>
    </row>
    <row r="24" spans="1:31" ht="25.5" x14ac:dyDescent="0.45">
      <c r="A24" s="15" t="str">
        <f>IF(Measures!$A24="","",Measures!$A24)</f>
        <v>R05</v>
      </c>
      <c r="B24" s="15" t="str">
        <f>IF(OR($A24="",Measures!$B24=""),"",Measures!$B24)</f>
        <v>KRI</v>
      </c>
      <c r="C24" s="15" t="str">
        <f>IF(OR($A24="",Measures!$C24=""),"",Measures!$C24)</f>
        <v>Key roles vacant over 60 days</v>
      </c>
      <c r="D24" s="15" t="str">
        <f>IF(OR($A24="",Measures!$F24=""),"",Measures!$F24)</f>
        <v>People (HR)</v>
      </c>
      <c r="E24" s="15" t="str">
        <f>IF(OR($A24="",Measures!$E24=""),"",Measures!$E24)</f>
        <v>D7</v>
      </c>
      <c r="F24" s="15" t="str">
        <f>IF(OR($A24="",Measures!$G24=""),"",Measures!$G24)</f>
        <v>C4</v>
      </c>
      <c r="G24" s="15" t="str">
        <f>IF(OR($A24="",Measures!$O24=""),"",Measures!$O24)</f>
        <v>HR Director</v>
      </c>
      <c r="H24" s="15" t="str">
        <f>IF(OR($A24="",Measures!$J24=""),"",Measures!$J24)</f>
        <v>Lower</v>
      </c>
      <c r="I24" s="50">
        <f>IF(OR($A24="",Measures!$K24=""),"",Measures!$K24)</f>
        <v>1</v>
      </c>
      <c r="J24" s="50">
        <f>IF(OR($A24="",Measures!$L24=""),"",Measures!$L24)</f>
        <v>3</v>
      </c>
      <c r="K24" s="15" t="str">
        <f>IF(OR($A24="",Measures!$I24=""),"",Measures!$I24)</f>
        <v>Number</v>
      </c>
      <c r="L24" s="60">
        <v>2</v>
      </c>
      <c r="M24" s="60">
        <v>2</v>
      </c>
      <c r="N24" s="60">
        <v>1</v>
      </c>
      <c r="O24" s="60">
        <v>1</v>
      </c>
      <c r="P24" s="60">
        <v>0</v>
      </c>
      <c r="Q24" s="60">
        <v>1</v>
      </c>
      <c r="R24" s="60">
        <v>1</v>
      </c>
      <c r="S24" s="60">
        <v>0</v>
      </c>
      <c r="T24" s="60">
        <v>1</v>
      </c>
      <c r="U24" s="60"/>
      <c r="V24" s="60"/>
      <c r="W24" s="60"/>
      <c r="X24" s="61">
        <f>IF($A24="","",IF(INDEX($L24:$W24,Setup!$B$7)="","",INDEX($L24:$W24,Setup!$B$7)))</f>
        <v>1</v>
      </c>
      <c r="Y24" s="50">
        <f>IF(OR($A24="",Setup!$B$7&lt;2),"",IF(INDEX($L24:$W24,Setup!$B$7-1)="","",INDEX($L24:$W24,Setup!$B$7-1)))</f>
        <v>0</v>
      </c>
      <c r="Z24" s="32" t="str">
        <f t="shared" si="0"/>
        <v>Green</v>
      </c>
      <c r="AA24" s="15" t="str">
        <f t="shared" si="1"/>
        <v>Worsening</v>
      </c>
      <c r="AB24" s="20"/>
      <c r="AC24" s="63" t="str">
        <f t="shared" si="2"/>
        <v/>
      </c>
      <c r="AD24" s="63" t="str">
        <f>IF(AC24="","",COUNTIF($AC$6:$AC$65,"&lt;"&amp;AC24)+COUNTIF($AC$6:AC24,AC24))</f>
        <v/>
      </c>
      <c r="AE24" s="63" t="str">
        <f>IF(OR($A24="",$D24&lt;&gt;'Department view'!$C$4),"",COUNTIF($D$6:$D24,'Department view'!$C$4))</f>
        <v/>
      </c>
    </row>
    <row r="25" spans="1:31" ht="25.5" x14ac:dyDescent="0.45">
      <c r="A25" s="15" t="str">
        <f>IF(Measures!$A25="","",Measures!$A25)</f>
        <v>R06</v>
      </c>
      <c r="B25" s="15" t="str">
        <f>IF(OR($A25="",Measures!$B25=""),"",Measures!$B25)</f>
        <v>KRI</v>
      </c>
      <c r="C25" s="15" t="str">
        <f>IF(OR($A25="",Measures!$C25=""),"",Measures!$C25)</f>
        <v>Critical security patches overdue</v>
      </c>
      <c r="D25" s="15" t="str">
        <f>IF(OR($A25="",Measures!$F25=""),"",Measures!$F25)</f>
        <v>IT</v>
      </c>
      <c r="E25" s="15" t="str">
        <f>IF(OR($A25="",Measures!$E25=""),"",Measures!$E25)</f>
        <v>D8</v>
      </c>
      <c r="F25" s="15" t="str">
        <f>IF(OR($A25="",Measures!$G25=""),"",Measures!$G25)</f>
        <v>C5</v>
      </c>
      <c r="G25" s="15" t="str">
        <f>IF(OR($A25="",Measures!$O25=""),"",Measures!$O25)</f>
        <v>Head of IT</v>
      </c>
      <c r="H25" s="15" t="str">
        <f>IF(OR($A25="",Measures!$J25=""),"",Measures!$J25)</f>
        <v>Lower</v>
      </c>
      <c r="I25" s="50">
        <f>IF(OR($A25="",Measures!$K25=""),"",Measures!$K25)</f>
        <v>0</v>
      </c>
      <c r="J25" s="50">
        <f>IF(OR($A25="",Measures!$L25=""),"",Measures!$L25)</f>
        <v>5</v>
      </c>
      <c r="K25" s="15" t="str">
        <f>IF(OR($A25="",Measures!$I25=""),"",Measures!$I25)</f>
        <v>Number</v>
      </c>
      <c r="L25" s="60">
        <v>8</v>
      </c>
      <c r="M25" s="60">
        <v>6</v>
      </c>
      <c r="N25" s="60">
        <v>5</v>
      </c>
      <c r="O25" s="60">
        <v>3</v>
      </c>
      <c r="P25" s="60">
        <v>2</v>
      </c>
      <c r="Q25" s="60">
        <v>0</v>
      </c>
      <c r="R25" s="60">
        <v>1</v>
      </c>
      <c r="S25" s="60">
        <v>0</v>
      </c>
      <c r="T25" s="60">
        <v>0</v>
      </c>
      <c r="U25" s="60"/>
      <c r="V25" s="60"/>
      <c r="W25" s="60"/>
      <c r="X25" s="61">
        <f>IF($A25="","",IF(INDEX($L25:$W25,Setup!$B$7)="","",INDEX($L25:$W25,Setup!$B$7)))</f>
        <v>0</v>
      </c>
      <c r="Y25" s="50">
        <f>IF(OR($A25="",Setup!$B$7&lt;2),"",IF(INDEX($L25:$W25,Setup!$B$7-1)="","",INDEX($L25:$W25,Setup!$B$7-1)))</f>
        <v>0</v>
      </c>
      <c r="Z25" s="32" t="str">
        <f t="shared" si="0"/>
        <v>Green</v>
      </c>
      <c r="AA25" s="15" t="str">
        <f t="shared" si="1"/>
        <v>Flat</v>
      </c>
      <c r="AB25" s="20"/>
      <c r="AC25" s="63" t="str">
        <f t="shared" si="2"/>
        <v/>
      </c>
      <c r="AD25" s="63" t="str">
        <f>IF(AC25="","",COUNTIF($AC$6:$AC$65,"&lt;"&amp;AC25)+COUNTIF($AC$6:AC25,AC25))</f>
        <v/>
      </c>
      <c r="AE25" s="63" t="str">
        <f>IF(OR($A25="",$D25&lt;&gt;'Department view'!$C$4),"",COUNTIF($D$6:$D25,'Department view'!$C$4))</f>
        <v/>
      </c>
    </row>
    <row r="26" spans="1:31" x14ac:dyDescent="0.45">
      <c r="A26" s="15" t="str">
        <f>IF(Measures!$A26="","",Measures!$A26)</f>
        <v>R07</v>
      </c>
      <c r="B26" s="15" t="str">
        <f>IF(OR($A26="",Measures!$B26=""),"",Measures!$B26)</f>
        <v>KRI</v>
      </c>
      <c r="C26" s="15" t="str">
        <f>IF(OR($A26="",Measures!$C26=""),"",Measures!$C26)</f>
        <v>Phishing test click rate</v>
      </c>
      <c r="D26" s="15" t="str">
        <f>IF(OR($A26="",Measures!$F26=""),"",Measures!$F26)</f>
        <v>IT</v>
      </c>
      <c r="E26" s="15" t="str">
        <f>IF(OR($A26="",Measures!$E26=""),"",Measures!$E26)</f>
        <v>D8</v>
      </c>
      <c r="F26" s="15" t="str">
        <f>IF(OR($A26="",Measures!$G26=""),"",Measures!$G26)</f>
        <v>C5</v>
      </c>
      <c r="G26" s="15" t="str">
        <f>IF(OR($A26="",Measures!$O26=""),"",Measures!$O26)</f>
        <v>Head of IT</v>
      </c>
      <c r="H26" s="15" t="str">
        <f>IF(OR($A26="",Measures!$J26=""),"",Measures!$J26)</f>
        <v>Lower</v>
      </c>
      <c r="I26" s="56">
        <f>IF(OR($A26="",Measures!$K26=""),"",Measures!$K26)</f>
        <v>0.05</v>
      </c>
      <c r="J26" s="56">
        <f>IF(OR($A26="",Measures!$L26=""),"",Measures!$L26)</f>
        <v>0.1</v>
      </c>
      <c r="K26" s="15" t="str">
        <f>IF(OR($A26="",Measures!$I26=""),"",Measures!$I26)</f>
        <v>%</v>
      </c>
      <c r="L26" s="64">
        <v>0.14000000000000001</v>
      </c>
      <c r="M26" s="64">
        <v>0.12</v>
      </c>
      <c r="N26" s="64">
        <v>0.11</v>
      </c>
      <c r="O26" s="64">
        <v>0.09</v>
      </c>
      <c r="P26" s="64">
        <v>0.08</v>
      </c>
      <c r="Q26" s="64">
        <v>7.0000000000000007E-2</v>
      </c>
      <c r="R26" s="64">
        <v>7.0000000000000007E-2</v>
      </c>
      <c r="S26" s="64">
        <v>0.06</v>
      </c>
      <c r="T26" s="64">
        <v>0.06</v>
      </c>
      <c r="U26" s="64"/>
      <c r="V26" s="64"/>
      <c r="W26" s="64"/>
      <c r="X26" s="55">
        <f>IF($A26="","",IF(INDEX($L26:$W26,Setup!$B$7)="","",INDEX($L26:$W26,Setup!$B$7)))</f>
        <v>0.06</v>
      </c>
      <c r="Y26" s="56">
        <f>IF(OR($A26="",Setup!$B$7&lt;2),"",IF(INDEX($L26:$W26,Setup!$B$7-1)="","",INDEX($L26:$W26,Setup!$B$7-1)))</f>
        <v>0.06</v>
      </c>
      <c r="Z26" s="32" t="str">
        <f t="shared" si="0"/>
        <v>Amber</v>
      </c>
      <c r="AA26" s="15" t="str">
        <f t="shared" si="1"/>
        <v>Flat</v>
      </c>
      <c r="AB26" s="20"/>
      <c r="AC26" s="63">
        <f t="shared" si="2"/>
        <v>2</v>
      </c>
      <c r="AD26" s="63">
        <f>IF(AC26="","",COUNTIF($AC$6:$AC$65,"&lt;"&amp;AC26)+COUNTIF($AC$6:AC26,AC26))</f>
        <v>14</v>
      </c>
      <c r="AE26" s="63" t="str">
        <f>IF(OR($A26="",$D26&lt;&gt;'Department view'!$C$4),"",COUNTIF($D$6:$D26,'Department view'!$C$4))</f>
        <v/>
      </c>
    </row>
    <row r="27" spans="1:31" ht="25.5" x14ac:dyDescent="0.45">
      <c r="A27" s="15" t="str">
        <f>IF(Measures!$A27="","",Measures!$A27)</f>
        <v>R08</v>
      </c>
      <c r="B27" s="15" t="str">
        <f>IF(OR($A27="",Measures!$B27=""),"",Measures!$B27)</f>
        <v>KRI</v>
      </c>
      <c r="C27" s="15" t="str">
        <f>IF(OR($A27="",Measures!$C27=""),"",Measures!$C27)</f>
        <v>Unplanned system downtime (hours)</v>
      </c>
      <c r="D27" s="15" t="str">
        <f>IF(OR($A27="",Measures!$F27=""),"",Measures!$F27)</f>
        <v>IT</v>
      </c>
      <c r="E27" s="15" t="str">
        <f>IF(OR($A27="",Measures!$E27=""),"",Measures!$E27)</f>
        <v>D8</v>
      </c>
      <c r="F27" s="15" t="str">
        <f>IF(OR($A27="",Measures!$G27=""),"",Measures!$G27)</f>
        <v>C5</v>
      </c>
      <c r="G27" s="15" t="str">
        <f>IF(OR($A27="",Measures!$O27=""),"",Measures!$O27)</f>
        <v>Head of IT</v>
      </c>
      <c r="H27" s="15" t="str">
        <f>IF(OR($A27="",Measures!$J27=""),"",Measures!$J27)</f>
        <v>Lower</v>
      </c>
      <c r="I27" s="50">
        <f>IF(OR($A27="",Measures!$K27=""),"",Measures!$K27)</f>
        <v>4</v>
      </c>
      <c r="J27" s="50">
        <f>IF(OR($A27="",Measures!$L27=""),"",Measures!$L27)</f>
        <v>8</v>
      </c>
      <c r="K27" s="15" t="str">
        <f>IF(OR($A27="",Measures!$I27=""),"",Measures!$I27)</f>
        <v>Number</v>
      </c>
      <c r="L27" s="60">
        <v>2</v>
      </c>
      <c r="M27" s="60">
        <v>5</v>
      </c>
      <c r="N27" s="60">
        <v>3</v>
      </c>
      <c r="O27" s="60">
        <v>9</v>
      </c>
      <c r="P27" s="60">
        <v>4</v>
      </c>
      <c r="Q27" s="60">
        <v>3</v>
      </c>
      <c r="R27" s="60">
        <v>2</v>
      </c>
      <c r="S27" s="60">
        <v>6</v>
      </c>
      <c r="T27" s="60">
        <v>3</v>
      </c>
      <c r="U27" s="60"/>
      <c r="V27" s="60"/>
      <c r="W27" s="60"/>
      <c r="X27" s="61">
        <f>IF($A27="","",IF(INDEX($L27:$W27,Setup!$B$7)="","",INDEX($L27:$W27,Setup!$B$7)))</f>
        <v>3</v>
      </c>
      <c r="Y27" s="50">
        <f>IF(OR($A27="",Setup!$B$7&lt;2),"",IF(INDEX($L27:$W27,Setup!$B$7-1)="","",INDEX($L27:$W27,Setup!$B$7-1)))</f>
        <v>6</v>
      </c>
      <c r="Z27" s="32" t="str">
        <f t="shared" si="0"/>
        <v>Green</v>
      </c>
      <c r="AA27" s="15" t="str">
        <f t="shared" si="1"/>
        <v>Improving</v>
      </c>
      <c r="AB27" s="20"/>
      <c r="AC27" s="63" t="str">
        <f t="shared" si="2"/>
        <v/>
      </c>
      <c r="AD27" s="63" t="str">
        <f>IF(AC27="","",COUNTIF($AC$6:$AC$65,"&lt;"&amp;AC27)+COUNTIF($AC$6:AC27,AC27))</f>
        <v/>
      </c>
      <c r="AE27" s="63" t="str">
        <f>IF(OR($A27="",$D27&lt;&gt;'Department view'!$C$4),"",COUNTIF($D$6:$D27,'Department view'!$C$4))</f>
        <v/>
      </c>
    </row>
    <row r="28" spans="1:31" ht="25.5" x14ac:dyDescent="0.45">
      <c r="A28" s="15" t="str">
        <f>IF(Measures!$A28="","",Measures!$A28)</f>
        <v>R09</v>
      </c>
      <c r="B28" s="15" t="str">
        <f>IF(OR($A28="",Measures!$B28=""),"",Measures!$B28)</f>
        <v>KRI</v>
      </c>
      <c r="C28" s="15" t="str">
        <f>IF(OR($A28="",Measures!$C28=""),"",Measures!$C28)</f>
        <v>Audit actions past due date</v>
      </c>
      <c r="D28" s="15" t="str">
        <f>IF(OR($A28="",Measures!$F28=""),"",Measures!$F28)</f>
        <v>Risk and compliance</v>
      </c>
      <c r="E28" s="15" t="str">
        <f>IF(OR($A28="",Measures!$E28=""),"",Measures!$E28)</f>
        <v>D9</v>
      </c>
      <c r="F28" s="15" t="str">
        <f>IF(OR($A28="",Measures!$G28=""),"",Measures!$G28)</f>
        <v>C5</v>
      </c>
      <c r="G28" s="15" t="str">
        <f>IF(OR($A28="",Measures!$O28=""),"",Measures!$O28)</f>
        <v>Chief Risk Officer</v>
      </c>
      <c r="H28" s="15" t="str">
        <f>IF(OR($A28="",Measures!$J28=""),"",Measures!$J28)</f>
        <v>Lower</v>
      </c>
      <c r="I28" s="50">
        <f>IF(OR($A28="",Measures!$K28=""),"",Measures!$K28)</f>
        <v>2</v>
      </c>
      <c r="J28" s="50">
        <f>IF(OR($A28="",Measures!$L28=""),"",Measures!$L28)</f>
        <v>5</v>
      </c>
      <c r="K28" s="15" t="str">
        <f>IF(OR($A28="",Measures!$I28=""),"",Measures!$I28)</f>
        <v>Number</v>
      </c>
      <c r="L28" s="60">
        <v>4</v>
      </c>
      <c r="M28" s="60">
        <v>5</v>
      </c>
      <c r="N28" s="60">
        <v>6</v>
      </c>
      <c r="O28" s="60">
        <v>6</v>
      </c>
      <c r="P28" s="60">
        <v>7</v>
      </c>
      <c r="Q28" s="60">
        <v>7</v>
      </c>
      <c r="R28" s="60">
        <v>8</v>
      </c>
      <c r="S28" s="60">
        <v>8</v>
      </c>
      <c r="T28" s="60">
        <v>9</v>
      </c>
      <c r="U28" s="60"/>
      <c r="V28" s="60"/>
      <c r="W28" s="60"/>
      <c r="X28" s="61">
        <f>IF($A28="","",IF(INDEX($L28:$W28,Setup!$B$7)="","",INDEX($L28:$W28,Setup!$B$7)))</f>
        <v>9</v>
      </c>
      <c r="Y28" s="50">
        <f>IF(OR($A28="",Setup!$B$7&lt;2),"",IF(INDEX($L28:$W28,Setup!$B$7-1)="","",INDEX($L28:$W28,Setup!$B$7-1)))</f>
        <v>8</v>
      </c>
      <c r="Z28" s="32" t="str">
        <f t="shared" si="0"/>
        <v>Red</v>
      </c>
      <c r="AA28" s="15" t="str">
        <f t="shared" si="1"/>
        <v>Worsening</v>
      </c>
      <c r="AB28" s="20" t="s">
        <v>319</v>
      </c>
      <c r="AC28" s="63">
        <f t="shared" si="2"/>
        <v>1</v>
      </c>
      <c r="AD28" s="63">
        <f>IF(AC28="","",COUNTIF($AC$6:$AC$65,"&lt;"&amp;AC28)+COUNTIF($AC$6:AC28,AC28))</f>
        <v>5</v>
      </c>
      <c r="AE28" s="63" t="str">
        <f>IF(OR($A28="",$D28&lt;&gt;'Department view'!$C$4),"",COUNTIF($D$6:$D28,'Department view'!$C$4))</f>
        <v/>
      </c>
    </row>
    <row r="29" spans="1:31" ht="25.5" x14ac:dyDescent="0.45">
      <c r="A29" s="15" t="str">
        <f>IF(Measures!$A29="","",Measures!$A29)</f>
        <v>R10</v>
      </c>
      <c r="B29" s="15" t="str">
        <f>IF(OR($A29="",Measures!$B29=""),"",Measures!$B29)</f>
        <v>KRI</v>
      </c>
      <c r="C29" s="15" t="str">
        <f>IF(OR($A29="",Measures!$C29=""),"",Measures!$C29)</f>
        <v>Customer complaints to the regulator</v>
      </c>
      <c r="D29" s="15" t="str">
        <f>IF(OR($A29="",Measures!$F29=""),"",Measures!$F29)</f>
        <v>Risk and compliance</v>
      </c>
      <c r="E29" s="15" t="str">
        <f>IF(OR($A29="",Measures!$E29=""),"",Measures!$E29)</f>
        <v>D9</v>
      </c>
      <c r="F29" s="15" t="str">
        <f>IF(OR($A29="",Measures!$G29=""),"",Measures!$G29)</f>
        <v>C5</v>
      </c>
      <c r="G29" s="15" t="str">
        <f>IF(OR($A29="",Measures!$O29=""),"",Measures!$O29)</f>
        <v>Chief Risk Officer</v>
      </c>
      <c r="H29" s="15" t="str">
        <f>IF(OR($A29="",Measures!$J29=""),"",Measures!$J29)</f>
        <v>Lower</v>
      </c>
      <c r="I29" s="50">
        <f>IF(OR($A29="",Measures!$K29=""),"",Measures!$K29)</f>
        <v>1</v>
      </c>
      <c r="J29" s="50">
        <f>IF(OR($A29="",Measures!$L29=""),"",Measures!$L29)</f>
        <v>3</v>
      </c>
      <c r="K29" s="15" t="str">
        <f>IF(OR($A29="",Measures!$I29=""),"",Measures!$I29)</f>
        <v>Number</v>
      </c>
      <c r="L29" s="60">
        <v>0</v>
      </c>
      <c r="M29" s="60">
        <v>1</v>
      </c>
      <c r="N29" s="60">
        <v>0</v>
      </c>
      <c r="O29" s="60">
        <v>2</v>
      </c>
      <c r="P29" s="60">
        <v>1</v>
      </c>
      <c r="Q29" s="60">
        <v>1</v>
      </c>
      <c r="R29" s="60">
        <v>3</v>
      </c>
      <c r="S29" s="60">
        <v>2</v>
      </c>
      <c r="T29" s="60">
        <v>4</v>
      </c>
      <c r="U29" s="60"/>
      <c r="V29" s="60"/>
      <c r="W29" s="60"/>
      <c r="X29" s="61">
        <f>IF($A29="","",IF(INDEX($L29:$W29,Setup!$B$7)="","",INDEX($L29:$W29,Setup!$B$7)))</f>
        <v>4</v>
      </c>
      <c r="Y29" s="50">
        <f>IF(OR($A29="",Setup!$B$7&lt;2),"",IF(INDEX($L29:$W29,Setup!$B$7-1)="","",INDEX($L29:$W29,Setup!$B$7-1)))</f>
        <v>2</v>
      </c>
      <c r="Z29" s="32" t="str">
        <f t="shared" si="0"/>
        <v>Red</v>
      </c>
      <c r="AA29" s="15" t="str">
        <f t="shared" si="1"/>
        <v>Worsening</v>
      </c>
      <c r="AB29" s="20" t="s">
        <v>320</v>
      </c>
      <c r="AC29" s="63">
        <f t="shared" si="2"/>
        <v>1</v>
      </c>
      <c r="AD29" s="63">
        <f>IF(AC29="","",COUNTIF($AC$6:$AC$65,"&lt;"&amp;AC29)+COUNTIF($AC$6:AC29,AC29))</f>
        <v>6</v>
      </c>
      <c r="AE29" s="63" t="str">
        <f>IF(OR($A29="",$D29&lt;&gt;'Department view'!$C$4),"",COUNTIF($D$6:$D29,'Department view'!$C$4))</f>
        <v/>
      </c>
    </row>
    <row r="30" spans="1:31" x14ac:dyDescent="0.45">
      <c r="A30" s="15" t="str">
        <f>IF(Measures!$A30="","",Measures!$A30)</f>
        <v/>
      </c>
      <c r="B30" s="15" t="str">
        <f>IF(OR($A30="",Measures!$B30=""),"",Measures!$B30)</f>
        <v/>
      </c>
      <c r="C30" s="15" t="str">
        <f>IF(OR($A30="",Measures!$C30=""),"",Measures!$C30)</f>
        <v/>
      </c>
      <c r="D30" s="15" t="str">
        <f>IF(OR($A30="",Measures!$F30=""),"",Measures!$F30)</f>
        <v/>
      </c>
      <c r="E30" s="15" t="str">
        <f>IF(OR($A30="",Measures!$E30=""),"",Measures!$E30)</f>
        <v/>
      </c>
      <c r="F30" s="15" t="str">
        <f>IF(OR($A30="",Measures!$G30=""),"",Measures!$G30)</f>
        <v/>
      </c>
      <c r="G30" s="15" t="str">
        <f>IF(OR($A30="",Measures!$O30=""),"",Measures!$O30)</f>
        <v/>
      </c>
      <c r="H30" s="15" t="str">
        <f>IF(OR($A30="",Measures!$J30=""),"",Measures!$J30)</f>
        <v/>
      </c>
      <c r="I30" s="15" t="str">
        <f>IF(OR($A30="",Measures!$K30=""),"",Measures!$K30)</f>
        <v/>
      </c>
      <c r="J30" s="15" t="str">
        <f>IF(OR($A30="",Measures!$L30=""),"",Measures!$L30)</f>
        <v/>
      </c>
      <c r="K30" s="15" t="str">
        <f>IF(OR($A30="",Measures!$I30=""),"",Measures!$I30)</f>
        <v/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9" t="str">
        <f>IF($A30="","",IF(INDEX($L30:$W30,Setup!$B$7)="","",INDEX($L30:$W30,Setup!$B$7)))</f>
        <v/>
      </c>
      <c r="Y30" s="15" t="str">
        <f>IF(OR($A30="",Setup!$B$7&lt;2),"",IF(INDEX($L30:$W30,Setup!$B$7-1)="","",INDEX($L30:$W30,Setup!$B$7-1)))</f>
        <v/>
      </c>
      <c r="Z30" s="32" t="str">
        <f t="shared" si="0"/>
        <v/>
      </c>
      <c r="AA30" s="15" t="str">
        <f t="shared" si="1"/>
        <v/>
      </c>
      <c r="AB30" s="20"/>
      <c r="AC30" s="63" t="str">
        <f t="shared" si="2"/>
        <v/>
      </c>
      <c r="AD30" s="63" t="str">
        <f>IF(AC30="","",COUNTIF($AC$6:$AC$65,"&lt;"&amp;AC30)+COUNTIF($AC$6:AC30,AC30))</f>
        <v/>
      </c>
      <c r="AE30" s="63" t="str">
        <f>IF(OR($A30="",$D30&lt;&gt;'Department view'!$C$4),"",COUNTIF($D$6:$D30,'Department view'!$C$4))</f>
        <v/>
      </c>
    </row>
    <row r="31" spans="1:31" x14ac:dyDescent="0.45">
      <c r="A31" s="15" t="str">
        <f>IF(Measures!$A31="","",Measures!$A31)</f>
        <v/>
      </c>
      <c r="B31" s="15" t="str">
        <f>IF(OR($A31="",Measures!$B31=""),"",Measures!$B31)</f>
        <v/>
      </c>
      <c r="C31" s="15" t="str">
        <f>IF(OR($A31="",Measures!$C31=""),"",Measures!$C31)</f>
        <v/>
      </c>
      <c r="D31" s="15" t="str">
        <f>IF(OR($A31="",Measures!$F31=""),"",Measures!$F31)</f>
        <v/>
      </c>
      <c r="E31" s="15" t="str">
        <f>IF(OR($A31="",Measures!$E31=""),"",Measures!$E31)</f>
        <v/>
      </c>
      <c r="F31" s="15" t="str">
        <f>IF(OR($A31="",Measures!$G31=""),"",Measures!$G31)</f>
        <v/>
      </c>
      <c r="G31" s="15" t="str">
        <f>IF(OR($A31="",Measures!$O31=""),"",Measures!$O31)</f>
        <v/>
      </c>
      <c r="H31" s="15" t="str">
        <f>IF(OR($A31="",Measures!$J31=""),"",Measures!$J31)</f>
        <v/>
      </c>
      <c r="I31" s="15" t="str">
        <f>IF(OR($A31="",Measures!$K31=""),"",Measures!$K31)</f>
        <v/>
      </c>
      <c r="J31" s="15" t="str">
        <f>IF(OR($A31="",Measures!$L31=""),"",Measures!$L31)</f>
        <v/>
      </c>
      <c r="K31" s="15" t="str">
        <f>IF(OR($A31="",Measures!$I31=""),"",Measures!$I31)</f>
        <v/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9" t="str">
        <f>IF($A31="","",IF(INDEX($L31:$W31,Setup!$B$7)="","",INDEX($L31:$W31,Setup!$B$7)))</f>
        <v/>
      </c>
      <c r="Y31" s="15" t="str">
        <f>IF(OR($A31="",Setup!$B$7&lt;2),"",IF(INDEX($L31:$W31,Setup!$B$7-1)="","",INDEX($L31:$W31,Setup!$B$7-1)))</f>
        <v/>
      </c>
      <c r="Z31" s="32" t="str">
        <f t="shared" si="0"/>
        <v/>
      </c>
      <c r="AA31" s="15" t="str">
        <f t="shared" si="1"/>
        <v/>
      </c>
      <c r="AB31" s="20"/>
      <c r="AC31" s="63" t="str">
        <f t="shared" si="2"/>
        <v/>
      </c>
      <c r="AD31" s="63" t="str">
        <f>IF(AC31="","",COUNTIF($AC$6:$AC$65,"&lt;"&amp;AC31)+COUNTIF($AC$6:AC31,AC31))</f>
        <v/>
      </c>
      <c r="AE31" s="63" t="str">
        <f>IF(OR($A31="",$D31&lt;&gt;'Department view'!$C$4),"",COUNTIF($D$6:$D31,'Department view'!$C$4))</f>
        <v/>
      </c>
    </row>
    <row r="32" spans="1:31" x14ac:dyDescent="0.45">
      <c r="A32" s="15" t="str">
        <f>IF(Measures!$A32="","",Measures!$A32)</f>
        <v/>
      </c>
      <c r="B32" s="15" t="str">
        <f>IF(OR($A32="",Measures!$B32=""),"",Measures!$B32)</f>
        <v/>
      </c>
      <c r="C32" s="15" t="str">
        <f>IF(OR($A32="",Measures!$C32=""),"",Measures!$C32)</f>
        <v/>
      </c>
      <c r="D32" s="15" t="str">
        <f>IF(OR($A32="",Measures!$F32=""),"",Measures!$F32)</f>
        <v/>
      </c>
      <c r="E32" s="15" t="str">
        <f>IF(OR($A32="",Measures!$E32=""),"",Measures!$E32)</f>
        <v/>
      </c>
      <c r="F32" s="15" t="str">
        <f>IF(OR($A32="",Measures!$G32=""),"",Measures!$G32)</f>
        <v/>
      </c>
      <c r="G32" s="15" t="str">
        <f>IF(OR($A32="",Measures!$O32=""),"",Measures!$O32)</f>
        <v/>
      </c>
      <c r="H32" s="15" t="str">
        <f>IF(OR($A32="",Measures!$J32=""),"",Measures!$J32)</f>
        <v/>
      </c>
      <c r="I32" s="15" t="str">
        <f>IF(OR($A32="",Measures!$K32=""),"",Measures!$K32)</f>
        <v/>
      </c>
      <c r="J32" s="15" t="str">
        <f>IF(OR($A32="",Measures!$L32=""),"",Measures!$L32)</f>
        <v/>
      </c>
      <c r="K32" s="15" t="str">
        <f>IF(OR($A32="",Measures!$I32=""),"",Measures!$I32)</f>
        <v/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9" t="str">
        <f>IF($A32="","",IF(INDEX($L32:$W32,Setup!$B$7)="","",INDEX($L32:$W32,Setup!$B$7)))</f>
        <v/>
      </c>
      <c r="Y32" s="15" t="str">
        <f>IF(OR($A32="",Setup!$B$7&lt;2),"",IF(INDEX($L32:$W32,Setup!$B$7-1)="","",INDEX($L32:$W32,Setup!$B$7-1)))</f>
        <v/>
      </c>
      <c r="Z32" s="32" t="str">
        <f t="shared" si="0"/>
        <v/>
      </c>
      <c r="AA32" s="15" t="str">
        <f t="shared" si="1"/>
        <v/>
      </c>
      <c r="AB32" s="20"/>
      <c r="AC32" s="63" t="str">
        <f t="shared" si="2"/>
        <v/>
      </c>
      <c r="AD32" s="63" t="str">
        <f>IF(AC32="","",COUNTIF($AC$6:$AC$65,"&lt;"&amp;AC32)+COUNTIF($AC$6:AC32,AC32))</f>
        <v/>
      </c>
      <c r="AE32" s="63" t="str">
        <f>IF(OR($A32="",$D32&lt;&gt;'Department view'!$C$4),"",COUNTIF($D$6:$D32,'Department view'!$C$4))</f>
        <v/>
      </c>
    </row>
    <row r="33" spans="1:31" x14ac:dyDescent="0.45">
      <c r="A33" s="15" t="str">
        <f>IF(Measures!$A33="","",Measures!$A33)</f>
        <v/>
      </c>
      <c r="B33" s="15" t="str">
        <f>IF(OR($A33="",Measures!$B33=""),"",Measures!$B33)</f>
        <v/>
      </c>
      <c r="C33" s="15" t="str">
        <f>IF(OR($A33="",Measures!$C33=""),"",Measures!$C33)</f>
        <v/>
      </c>
      <c r="D33" s="15" t="str">
        <f>IF(OR($A33="",Measures!$F33=""),"",Measures!$F33)</f>
        <v/>
      </c>
      <c r="E33" s="15" t="str">
        <f>IF(OR($A33="",Measures!$E33=""),"",Measures!$E33)</f>
        <v/>
      </c>
      <c r="F33" s="15" t="str">
        <f>IF(OR($A33="",Measures!$G33=""),"",Measures!$G33)</f>
        <v/>
      </c>
      <c r="G33" s="15" t="str">
        <f>IF(OR($A33="",Measures!$O33=""),"",Measures!$O33)</f>
        <v/>
      </c>
      <c r="H33" s="15" t="str">
        <f>IF(OR($A33="",Measures!$J33=""),"",Measures!$J33)</f>
        <v/>
      </c>
      <c r="I33" s="15" t="str">
        <f>IF(OR($A33="",Measures!$K33=""),"",Measures!$K33)</f>
        <v/>
      </c>
      <c r="J33" s="15" t="str">
        <f>IF(OR($A33="",Measures!$L33=""),"",Measures!$L33)</f>
        <v/>
      </c>
      <c r="K33" s="15" t="str">
        <f>IF(OR($A33="",Measures!$I33=""),"",Measures!$I33)</f>
        <v/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9" t="str">
        <f>IF($A33="","",IF(INDEX($L33:$W33,Setup!$B$7)="","",INDEX($L33:$W33,Setup!$B$7)))</f>
        <v/>
      </c>
      <c r="Y33" s="15" t="str">
        <f>IF(OR($A33="",Setup!$B$7&lt;2),"",IF(INDEX($L33:$W33,Setup!$B$7-1)="","",INDEX($L33:$W33,Setup!$B$7-1)))</f>
        <v/>
      </c>
      <c r="Z33" s="32" t="str">
        <f t="shared" si="0"/>
        <v/>
      </c>
      <c r="AA33" s="15" t="str">
        <f t="shared" si="1"/>
        <v/>
      </c>
      <c r="AB33" s="20"/>
      <c r="AC33" s="63" t="str">
        <f t="shared" si="2"/>
        <v/>
      </c>
      <c r="AD33" s="63" t="str">
        <f>IF(AC33="","",COUNTIF($AC$6:$AC$65,"&lt;"&amp;AC33)+COUNTIF($AC$6:AC33,AC33))</f>
        <v/>
      </c>
      <c r="AE33" s="63" t="str">
        <f>IF(OR($A33="",$D33&lt;&gt;'Department view'!$C$4),"",COUNTIF($D$6:$D33,'Department view'!$C$4))</f>
        <v/>
      </c>
    </row>
    <row r="34" spans="1:31" x14ac:dyDescent="0.45">
      <c r="A34" s="15" t="str">
        <f>IF(Measures!$A34="","",Measures!$A34)</f>
        <v/>
      </c>
      <c r="B34" s="15" t="str">
        <f>IF(OR($A34="",Measures!$B34=""),"",Measures!$B34)</f>
        <v/>
      </c>
      <c r="C34" s="15" t="str">
        <f>IF(OR($A34="",Measures!$C34=""),"",Measures!$C34)</f>
        <v/>
      </c>
      <c r="D34" s="15" t="str">
        <f>IF(OR($A34="",Measures!$F34=""),"",Measures!$F34)</f>
        <v/>
      </c>
      <c r="E34" s="15" t="str">
        <f>IF(OR($A34="",Measures!$E34=""),"",Measures!$E34)</f>
        <v/>
      </c>
      <c r="F34" s="15" t="str">
        <f>IF(OR($A34="",Measures!$G34=""),"",Measures!$G34)</f>
        <v/>
      </c>
      <c r="G34" s="15" t="str">
        <f>IF(OR($A34="",Measures!$O34=""),"",Measures!$O34)</f>
        <v/>
      </c>
      <c r="H34" s="15" t="str">
        <f>IF(OR($A34="",Measures!$J34=""),"",Measures!$J34)</f>
        <v/>
      </c>
      <c r="I34" s="15" t="str">
        <f>IF(OR($A34="",Measures!$K34=""),"",Measures!$K34)</f>
        <v/>
      </c>
      <c r="J34" s="15" t="str">
        <f>IF(OR($A34="",Measures!$L34=""),"",Measures!$L34)</f>
        <v/>
      </c>
      <c r="K34" s="15" t="str">
        <f>IF(OR($A34="",Measures!$I34=""),"",Measures!$I34)</f>
        <v/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9" t="str">
        <f>IF($A34="","",IF(INDEX($L34:$W34,Setup!$B$7)="","",INDEX($L34:$W34,Setup!$B$7)))</f>
        <v/>
      </c>
      <c r="Y34" s="15" t="str">
        <f>IF(OR($A34="",Setup!$B$7&lt;2),"",IF(INDEX($L34:$W34,Setup!$B$7-1)="","",INDEX($L34:$W34,Setup!$B$7-1)))</f>
        <v/>
      </c>
      <c r="Z34" s="32" t="str">
        <f t="shared" si="0"/>
        <v/>
      </c>
      <c r="AA34" s="15" t="str">
        <f t="shared" si="1"/>
        <v/>
      </c>
      <c r="AB34" s="20"/>
      <c r="AC34" s="63" t="str">
        <f t="shared" si="2"/>
        <v/>
      </c>
      <c r="AD34" s="63" t="str">
        <f>IF(AC34="","",COUNTIF($AC$6:$AC$65,"&lt;"&amp;AC34)+COUNTIF($AC$6:AC34,AC34))</f>
        <v/>
      </c>
      <c r="AE34" s="63" t="str">
        <f>IF(OR($A34="",$D34&lt;&gt;'Department view'!$C$4),"",COUNTIF($D$6:$D34,'Department view'!$C$4))</f>
        <v/>
      </c>
    </row>
    <row r="35" spans="1:31" x14ac:dyDescent="0.45">
      <c r="A35" s="15" t="str">
        <f>IF(Measures!$A35="","",Measures!$A35)</f>
        <v/>
      </c>
      <c r="B35" s="15" t="str">
        <f>IF(OR($A35="",Measures!$B35=""),"",Measures!$B35)</f>
        <v/>
      </c>
      <c r="C35" s="15" t="str">
        <f>IF(OR($A35="",Measures!$C35=""),"",Measures!$C35)</f>
        <v/>
      </c>
      <c r="D35" s="15" t="str">
        <f>IF(OR($A35="",Measures!$F35=""),"",Measures!$F35)</f>
        <v/>
      </c>
      <c r="E35" s="15" t="str">
        <f>IF(OR($A35="",Measures!$E35=""),"",Measures!$E35)</f>
        <v/>
      </c>
      <c r="F35" s="15" t="str">
        <f>IF(OR($A35="",Measures!$G35=""),"",Measures!$G35)</f>
        <v/>
      </c>
      <c r="G35" s="15" t="str">
        <f>IF(OR($A35="",Measures!$O35=""),"",Measures!$O35)</f>
        <v/>
      </c>
      <c r="H35" s="15" t="str">
        <f>IF(OR($A35="",Measures!$J35=""),"",Measures!$J35)</f>
        <v/>
      </c>
      <c r="I35" s="15" t="str">
        <f>IF(OR($A35="",Measures!$K35=""),"",Measures!$K35)</f>
        <v/>
      </c>
      <c r="J35" s="15" t="str">
        <f>IF(OR($A35="",Measures!$L35=""),"",Measures!$L35)</f>
        <v/>
      </c>
      <c r="K35" s="15" t="str">
        <f>IF(OR($A35="",Measures!$I35=""),"",Measures!$I35)</f>
        <v/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9" t="str">
        <f>IF($A35="","",IF(INDEX($L35:$W35,Setup!$B$7)="","",INDEX($L35:$W35,Setup!$B$7)))</f>
        <v/>
      </c>
      <c r="Y35" s="15" t="str">
        <f>IF(OR($A35="",Setup!$B$7&lt;2),"",IF(INDEX($L35:$W35,Setup!$B$7-1)="","",INDEX($L35:$W35,Setup!$B$7-1)))</f>
        <v/>
      </c>
      <c r="Z35" s="32" t="str">
        <f t="shared" si="0"/>
        <v/>
      </c>
      <c r="AA35" s="15" t="str">
        <f t="shared" si="1"/>
        <v/>
      </c>
      <c r="AB35" s="20"/>
      <c r="AC35" s="63" t="str">
        <f t="shared" si="2"/>
        <v/>
      </c>
      <c r="AD35" s="63" t="str">
        <f>IF(AC35="","",COUNTIF($AC$6:$AC$65,"&lt;"&amp;AC35)+COUNTIF($AC$6:AC35,AC35))</f>
        <v/>
      </c>
      <c r="AE35" s="63" t="str">
        <f>IF(OR($A35="",$D35&lt;&gt;'Department view'!$C$4),"",COUNTIF($D$6:$D35,'Department view'!$C$4))</f>
        <v/>
      </c>
    </row>
    <row r="36" spans="1:31" x14ac:dyDescent="0.45">
      <c r="A36" s="15" t="str">
        <f>IF(Measures!$A36="","",Measures!$A36)</f>
        <v/>
      </c>
      <c r="B36" s="15" t="str">
        <f>IF(OR($A36="",Measures!$B36=""),"",Measures!$B36)</f>
        <v/>
      </c>
      <c r="C36" s="15" t="str">
        <f>IF(OR($A36="",Measures!$C36=""),"",Measures!$C36)</f>
        <v/>
      </c>
      <c r="D36" s="15" t="str">
        <f>IF(OR($A36="",Measures!$F36=""),"",Measures!$F36)</f>
        <v/>
      </c>
      <c r="E36" s="15" t="str">
        <f>IF(OR($A36="",Measures!$E36=""),"",Measures!$E36)</f>
        <v/>
      </c>
      <c r="F36" s="15" t="str">
        <f>IF(OR($A36="",Measures!$G36=""),"",Measures!$G36)</f>
        <v/>
      </c>
      <c r="G36" s="15" t="str">
        <f>IF(OR($A36="",Measures!$O36=""),"",Measures!$O36)</f>
        <v/>
      </c>
      <c r="H36" s="15" t="str">
        <f>IF(OR($A36="",Measures!$J36=""),"",Measures!$J36)</f>
        <v/>
      </c>
      <c r="I36" s="15" t="str">
        <f>IF(OR($A36="",Measures!$K36=""),"",Measures!$K36)</f>
        <v/>
      </c>
      <c r="J36" s="15" t="str">
        <f>IF(OR($A36="",Measures!$L36=""),"",Measures!$L36)</f>
        <v/>
      </c>
      <c r="K36" s="15" t="str">
        <f>IF(OR($A36="",Measures!$I36=""),"",Measures!$I36)</f>
        <v/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9" t="str">
        <f>IF($A36="","",IF(INDEX($L36:$W36,Setup!$B$7)="","",INDEX($L36:$W36,Setup!$B$7)))</f>
        <v/>
      </c>
      <c r="Y36" s="15" t="str">
        <f>IF(OR($A36="",Setup!$B$7&lt;2),"",IF(INDEX($L36:$W36,Setup!$B$7-1)="","",INDEX($L36:$W36,Setup!$B$7-1)))</f>
        <v/>
      </c>
      <c r="Z36" s="32" t="str">
        <f t="shared" si="0"/>
        <v/>
      </c>
      <c r="AA36" s="15" t="str">
        <f t="shared" si="1"/>
        <v/>
      </c>
      <c r="AB36" s="20"/>
      <c r="AC36" s="63" t="str">
        <f t="shared" si="2"/>
        <v/>
      </c>
      <c r="AD36" s="63" t="str">
        <f>IF(AC36="","",COUNTIF($AC$6:$AC$65,"&lt;"&amp;AC36)+COUNTIF($AC$6:AC36,AC36))</f>
        <v/>
      </c>
      <c r="AE36" s="63" t="str">
        <f>IF(OR($A36="",$D36&lt;&gt;'Department view'!$C$4),"",COUNTIF($D$6:$D36,'Department view'!$C$4))</f>
        <v/>
      </c>
    </row>
    <row r="37" spans="1:31" x14ac:dyDescent="0.45">
      <c r="A37" s="15" t="str">
        <f>IF(Measures!$A37="","",Measures!$A37)</f>
        <v/>
      </c>
      <c r="B37" s="15" t="str">
        <f>IF(OR($A37="",Measures!$B37=""),"",Measures!$B37)</f>
        <v/>
      </c>
      <c r="C37" s="15" t="str">
        <f>IF(OR($A37="",Measures!$C37=""),"",Measures!$C37)</f>
        <v/>
      </c>
      <c r="D37" s="15" t="str">
        <f>IF(OR($A37="",Measures!$F37=""),"",Measures!$F37)</f>
        <v/>
      </c>
      <c r="E37" s="15" t="str">
        <f>IF(OR($A37="",Measures!$E37=""),"",Measures!$E37)</f>
        <v/>
      </c>
      <c r="F37" s="15" t="str">
        <f>IF(OR($A37="",Measures!$G37=""),"",Measures!$G37)</f>
        <v/>
      </c>
      <c r="G37" s="15" t="str">
        <f>IF(OR($A37="",Measures!$O37=""),"",Measures!$O37)</f>
        <v/>
      </c>
      <c r="H37" s="15" t="str">
        <f>IF(OR($A37="",Measures!$J37=""),"",Measures!$J37)</f>
        <v/>
      </c>
      <c r="I37" s="15" t="str">
        <f>IF(OR($A37="",Measures!$K37=""),"",Measures!$K37)</f>
        <v/>
      </c>
      <c r="J37" s="15" t="str">
        <f>IF(OR($A37="",Measures!$L37=""),"",Measures!$L37)</f>
        <v/>
      </c>
      <c r="K37" s="15" t="str">
        <f>IF(OR($A37="",Measures!$I37=""),"",Measures!$I37)</f>
        <v/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9" t="str">
        <f>IF($A37="","",IF(INDEX($L37:$W37,Setup!$B$7)="","",INDEX($L37:$W37,Setup!$B$7)))</f>
        <v/>
      </c>
      <c r="Y37" s="15" t="str">
        <f>IF(OR($A37="",Setup!$B$7&lt;2),"",IF(INDEX($L37:$W37,Setup!$B$7-1)="","",INDEX($L37:$W37,Setup!$B$7-1)))</f>
        <v/>
      </c>
      <c r="Z37" s="32" t="str">
        <f t="shared" si="0"/>
        <v/>
      </c>
      <c r="AA37" s="15" t="str">
        <f t="shared" si="1"/>
        <v/>
      </c>
      <c r="AB37" s="20"/>
      <c r="AC37" s="63" t="str">
        <f t="shared" si="2"/>
        <v/>
      </c>
      <c r="AD37" s="63" t="str">
        <f>IF(AC37="","",COUNTIF($AC$6:$AC$65,"&lt;"&amp;AC37)+COUNTIF($AC$6:AC37,AC37))</f>
        <v/>
      </c>
      <c r="AE37" s="63" t="str">
        <f>IF(OR($A37="",$D37&lt;&gt;'Department view'!$C$4),"",COUNTIF($D$6:$D37,'Department view'!$C$4))</f>
        <v/>
      </c>
    </row>
    <row r="38" spans="1:31" x14ac:dyDescent="0.45">
      <c r="A38" s="15" t="str">
        <f>IF(Measures!$A38="","",Measures!$A38)</f>
        <v/>
      </c>
      <c r="B38" s="15" t="str">
        <f>IF(OR($A38="",Measures!$B38=""),"",Measures!$B38)</f>
        <v/>
      </c>
      <c r="C38" s="15" t="str">
        <f>IF(OR($A38="",Measures!$C38=""),"",Measures!$C38)</f>
        <v/>
      </c>
      <c r="D38" s="15" t="str">
        <f>IF(OR($A38="",Measures!$F38=""),"",Measures!$F38)</f>
        <v/>
      </c>
      <c r="E38" s="15" t="str">
        <f>IF(OR($A38="",Measures!$E38=""),"",Measures!$E38)</f>
        <v/>
      </c>
      <c r="F38" s="15" t="str">
        <f>IF(OR($A38="",Measures!$G38=""),"",Measures!$G38)</f>
        <v/>
      </c>
      <c r="G38" s="15" t="str">
        <f>IF(OR($A38="",Measures!$O38=""),"",Measures!$O38)</f>
        <v/>
      </c>
      <c r="H38" s="15" t="str">
        <f>IF(OR($A38="",Measures!$J38=""),"",Measures!$J38)</f>
        <v/>
      </c>
      <c r="I38" s="15" t="str">
        <f>IF(OR($A38="",Measures!$K38=""),"",Measures!$K38)</f>
        <v/>
      </c>
      <c r="J38" s="15" t="str">
        <f>IF(OR($A38="",Measures!$L38=""),"",Measures!$L38)</f>
        <v/>
      </c>
      <c r="K38" s="15" t="str">
        <f>IF(OR($A38="",Measures!$I38=""),"",Measures!$I38)</f>
        <v/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9" t="str">
        <f>IF($A38="","",IF(INDEX($L38:$W38,Setup!$B$7)="","",INDEX($L38:$W38,Setup!$B$7)))</f>
        <v/>
      </c>
      <c r="Y38" s="15" t="str">
        <f>IF(OR($A38="",Setup!$B$7&lt;2),"",IF(INDEX($L38:$W38,Setup!$B$7-1)="","",INDEX($L38:$W38,Setup!$B$7-1)))</f>
        <v/>
      </c>
      <c r="Z38" s="32" t="str">
        <f t="shared" ref="Z38:Z65" si="3">IF($A38="","",IF(OR(X38="",I38="",J38=""),"No data",IF(H38="Higher",IF(X38&gt;=I38,"Green",IF(X38&gt;=J38,"Amber","Red")),IF(X38&lt;=I38,"Green",IF(X38&lt;=J38,"Amber","Red")))))</f>
        <v/>
      </c>
      <c r="AA38" s="15" t="str">
        <f t="shared" ref="AA38:AA65" si="4">IF(OR(X38="",Y38=""),"",IF(X38=Y38,"Flat",IF((X38&gt;Y38)=(H38="Higher"),"Improving","Worsening")))</f>
        <v/>
      </c>
      <c r="AB38" s="20"/>
      <c r="AC38" s="63" t="str">
        <f t="shared" ref="AC38:AC65" si="5">IF(Z38="Red",1,IF(Z38="Amber",2,""))</f>
        <v/>
      </c>
      <c r="AD38" s="63" t="str">
        <f>IF(AC38="","",COUNTIF($AC$6:$AC$65,"&lt;"&amp;AC38)+COUNTIF($AC$6:AC38,AC38))</f>
        <v/>
      </c>
      <c r="AE38" s="63" t="str">
        <f>IF(OR($A38="",$D38&lt;&gt;'Department view'!$C$4),"",COUNTIF($D$6:$D38,'Department view'!$C$4))</f>
        <v/>
      </c>
    </row>
    <row r="39" spans="1:31" x14ac:dyDescent="0.45">
      <c r="A39" s="15" t="str">
        <f>IF(Measures!$A39="","",Measures!$A39)</f>
        <v/>
      </c>
      <c r="B39" s="15" t="str">
        <f>IF(OR($A39="",Measures!$B39=""),"",Measures!$B39)</f>
        <v/>
      </c>
      <c r="C39" s="15" t="str">
        <f>IF(OR($A39="",Measures!$C39=""),"",Measures!$C39)</f>
        <v/>
      </c>
      <c r="D39" s="15" t="str">
        <f>IF(OR($A39="",Measures!$F39=""),"",Measures!$F39)</f>
        <v/>
      </c>
      <c r="E39" s="15" t="str">
        <f>IF(OR($A39="",Measures!$E39=""),"",Measures!$E39)</f>
        <v/>
      </c>
      <c r="F39" s="15" t="str">
        <f>IF(OR($A39="",Measures!$G39=""),"",Measures!$G39)</f>
        <v/>
      </c>
      <c r="G39" s="15" t="str">
        <f>IF(OR($A39="",Measures!$O39=""),"",Measures!$O39)</f>
        <v/>
      </c>
      <c r="H39" s="15" t="str">
        <f>IF(OR($A39="",Measures!$J39=""),"",Measures!$J39)</f>
        <v/>
      </c>
      <c r="I39" s="15" t="str">
        <f>IF(OR($A39="",Measures!$K39=""),"",Measures!$K39)</f>
        <v/>
      </c>
      <c r="J39" s="15" t="str">
        <f>IF(OR($A39="",Measures!$L39=""),"",Measures!$L39)</f>
        <v/>
      </c>
      <c r="K39" s="15" t="str">
        <f>IF(OR($A39="",Measures!$I39=""),"",Measures!$I39)</f>
        <v/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9" t="str">
        <f>IF($A39="","",IF(INDEX($L39:$W39,Setup!$B$7)="","",INDEX($L39:$W39,Setup!$B$7)))</f>
        <v/>
      </c>
      <c r="Y39" s="15" t="str">
        <f>IF(OR($A39="",Setup!$B$7&lt;2),"",IF(INDEX($L39:$W39,Setup!$B$7-1)="","",INDEX($L39:$W39,Setup!$B$7-1)))</f>
        <v/>
      </c>
      <c r="Z39" s="32" t="str">
        <f t="shared" si="3"/>
        <v/>
      </c>
      <c r="AA39" s="15" t="str">
        <f t="shared" si="4"/>
        <v/>
      </c>
      <c r="AB39" s="20"/>
      <c r="AC39" s="63" t="str">
        <f t="shared" si="5"/>
        <v/>
      </c>
      <c r="AD39" s="63" t="str">
        <f>IF(AC39="","",COUNTIF($AC$6:$AC$65,"&lt;"&amp;AC39)+COUNTIF($AC$6:AC39,AC39))</f>
        <v/>
      </c>
      <c r="AE39" s="63" t="str">
        <f>IF(OR($A39="",$D39&lt;&gt;'Department view'!$C$4),"",COUNTIF($D$6:$D39,'Department view'!$C$4))</f>
        <v/>
      </c>
    </row>
    <row r="40" spans="1:31" x14ac:dyDescent="0.45">
      <c r="A40" s="15" t="str">
        <f>IF(Measures!$A40="","",Measures!$A40)</f>
        <v/>
      </c>
      <c r="B40" s="15" t="str">
        <f>IF(OR($A40="",Measures!$B40=""),"",Measures!$B40)</f>
        <v/>
      </c>
      <c r="C40" s="15" t="str">
        <f>IF(OR($A40="",Measures!$C40=""),"",Measures!$C40)</f>
        <v/>
      </c>
      <c r="D40" s="15" t="str">
        <f>IF(OR($A40="",Measures!$F40=""),"",Measures!$F40)</f>
        <v/>
      </c>
      <c r="E40" s="15" t="str">
        <f>IF(OR($A40="",Measures!$E40=""),"",Measures!$E40)</f>
        <v/>
      </c>
      <c r="F40" s="15" t="str">
        <f>IF(OR($A40="",Measures!$G40=""),"",Measures!$G40)</f>
        <v/>
      </c>
      <c r="G40" s="15" t="str">
        <f>IF(OR($A40="",Measures!$O40=""),"",Measures!$O40)</f>
        <v/>
      </c>
      <c r="H40" s="15" t="str">
        <f>IF(OR($A40="",Measures!$J40=""),"",Measures!$J40)</f>
        <v/>
      </c>
      <c r="I40" s="15" t="str">
        <f>IF(OR($A40="",Measures!$K40=""),"",Measures!$K40)</f>
        <v/>
      </c>
      <c r="J40" s="15" t="str">
        <f>IF(OR($A40="",Measures!$L40=""),"",Measures!$L40)</f>
        <v/>
      </c>
      <c r="K40" s="15" t="str">
        <f>IF(OR($A40="",Measures!$I40=""),"",Measures!$I40)</f>
        <v/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9" t="str">
        <f>IF($A40="","",IF(INDEX($L40:$W40,Setup!$B$7)="","",INDEX($L40:$W40,Setup!$B$7)))</f>
        <v/>
      </c>
      <c r="Y40" s="15" t="str">
        <f>IF(OR($A40="",Setup!$B$7&lt;2),"",IF(INDEX($L40:$W40,Setup!$B$7-1)="","",INDEX($L40:$W40,Setup!$B$7-1)))</f>
        <v/>
      </c>
      <c r="Z40" s="32" t="str">
        <f t="shared" si="3"/>
        <v/>
      </c>
      <c r="AA40" s="15" t="str">
        <f t="shared" si="4"/>
        <v/>
      </c>
      <c r="AB40" s="20"/>
      <c r="AC40" s="63" t="str">
        <f t="shared" si="5"/>
        <v/>
      </c>
      <c r="AD40" s="63" t="str">
        <f>IF(AC40="","",COUNTIF($AC$6:$AC$65,"&lt;"&amp;AC40)+COUNTIF($AC$6:AC40,AC40))</f>
        <v/>
      </c>
      <c r="AE40" s="63" t="str">
        <f>IF(OR($A40="",$D40&lt;&gt;'Department view'!$C$4),"",COUNTIF($D$6:$D40,'Department view'!$C$4))</f>
        <v/>
      </c>
    </row>
    <row r="41" spans="1:31" x14ac:dyDescent="0.45">
      <c r="A41" s="15" t="str">
        <f>IF(Measures!$A41="","",Measures!$A41)</f>
        <v/>
      </c>
      <c r="B41" s="15" t="str">
        <f>IF(OR($A41="",Measures!$B41=""),"",Measures!$B41)</f>
        <v/>
      </c>
      <c r="C41" s="15" t="str">
        <f>IF(OR($A41="",Measures!$C41=""),"",Measures!$C41)</f>
        <v/>
      </c>
      <c r="D41" s="15" t="str">
        <f>IF(OR($A41="",Measures!$F41=""),"",Measures!$F41)</f>
        <v/>
      </c>
      <c r="E41" s="15" t="str">
        <f>IF(OR($A41="",Measures!$E41=""),"",Measures!$E41)</f>
        <v/>
      </c>
      <c r="F41" s="15" t="str">
        <f>IF(OR($A41="",Measures!$G41=""),"",Measures!$G41)</f>
        <v/>
      </c>
      <c r="G41" s="15" t="str">
        <f>IF(OR($A41="",Measures!$O41=""),"",Measures!$O41)</f>
        <v/>
      </c>
      <c r="H41" s="15" t="str">
        <f>IF(OR($A41="",Measures!$J41=""),"",Measures!$J41)</f>
        <v/>
      </c>
      <c r="I41" s="15" t="str">
        <f>IF(OR($A41="",Measures!$K41=""),"",Measures!$K41)</f>
        <v/>
      </c>
      <c r="J41" s="15" t="str">
        <f>IF(OR($A41="",Measures!$L41=""),"",Measures!$L41)</f>
        <v/>
      </c>
      <c r="K41" s="15" t="str">
        <f>IF(OR($A41="",Measures!$I41=""),"",Measures!$I41)</f>
        <v/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9" t="str">
        <f>IF($A41="","",IF(INDEX($L41:$W41,Setup!$B$7)="","",INDEX($L41:$W41,Setup!$B$7)))</f>
        <v/>
      </c>
      <c r="Y41" s="15" t="str">
        <f>IF(OR($A41="",Setup!$B$7&lt;2),"",IF(INDEX($L41:$W41,Setup!$B$7-1)="","",INDEX($L41:$W41,Setup!$B$7-1)))</f>
        <v/>
      </c>
      <c r="Z41" s="32" t="str">
        <f t="shared" si="3"/>
        <v/>
      </c>
      <c r="AA41" s="15" t="str">
        <f t="shared" si="4"/>
        <v/>
      </c>
      <c r="AB41" s="20"/>
      <c r="AC41" s="63" t="str">
        <f t="shared" si="5"/>
        <v/>
      </c>
      <c r="AD41" s="63" t="str">
        <f>IF(AC41="","",COUNTIF($AC$6:$AC$65,"&lt;"&amp;AC41)+COUNTIF($AC$6:AC41,AC41))</f>
        <v/>
      </c>
      <c r="AE41" s="63" t="str">
        <f>IF(OR($A41="",$D41&lt;&gt;'Department view'!$C$4),"",COUNTIF($D$6:$D41,'Department view'!$C$4))</f>
        <v/>
      </c>
    </row>
    <row r="42" spans="1:31" x14ac:dyDescent="0.45">
      <c r="A42" s="15" t="str">
        <f>IF(Measures!$A42="","",Measures!$A42)</f>
        <v/>
      </c>
      <c r="B42" s="15" t="str">
        <f>IF(OR($A42="",Measures!$B42=""),"",Measures!$B42)</f>
        <v/>
      </c>
      <c r="C42" s="15" t="str">
        <f>IF(OR($A42="",Measures!$C42=""),"",Measures!$C42)</f>
        <v/>
      </c>
      <c r="D42" s="15" t="str">
        <f>IF(OR($A42="",Measures!$F42=""),"",Measures!$F42)</f>
        <v/>
      </c>
      <c r="E42" s="15" t="str">
        <f>IF(OR($A42="",Measures!$E42=""),"",Measures!$E42)</f>
        <v/>
      </c>
      <c r="F42" s="15" t="str">
        <f>IF(OR($A42="",Measures!$G42=""),"",Measures!$G42)</f>
        <v/>
      </c>
      <c r="G42" s="15" t="str">
        <f>IF(OR($A42="",Measures!$O42=""),"",Measures!$O42)</f>
        <v/>
      </c>
      <c r="H42" s="15" t="str">
        <f>IF(OR($A42="",Measures!$J42=""),"",Measures!$J42)</f>
        <v/>
      </c>
      <c r="I42" s="15" t="str">
        <f>IF(OR($A42="",Measures!$K42=""),"",Measures!$K42)</f>
        <v/>
      </c>
      <c r="J42" s="15" t="str">
        <f>IF(OR($A42="",Measures!$L42=""),"",Measures!$L42)</f>
        <v/>
      </c>
      <c r="K42" s="15" t="str">
        <f>IF(OR($A42="",Measures!$I42=""),"",Measures!$I42)</f>
        <v/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9" t="str">
        <f>IF($A42="","",IF(INDEX($L42:$W42,Setup!$B$7)="","",INDEX($L42:$W42,Setup!$B$7)))</f>
        <v/>
      </c>
      <c r="Y42" s="15" t="str">
        <f>IF(OR($A42="",Setup!$B$7&lt;2),"",IF(INDEX($L42:$W42,Setup!$B$7-1)="","",INDEX($L42:$W42,Setup!$B$7-1)))</f>
        <v/>
      </c>
      <c r="Z42" s="32" t="str">
        <f t="shared" si="3"/>
        <v/>
      </c>
      <c r="AA42" s="15" t="str">
        <f t="shared" si="4"/>
        <v/>
      </c>
      <c r="AB42" s="20"/>
      <c r="AC42" s="63" t="str">
        <f t="shared" si="5"/>
        <v/>
      </c>
      <c r="AD42" s="63" t="str">
        <f>IF(AC42="","",COUNTIF($AC$6:$AC$65,"&lt;"&amp;AC42)+COUNTIF($AC$6:AC42,AC42))</f>
        <v/>
      </c>
      <c r="AE42" s="63" t="str">
        <f>IF(OR($A42="",$D42&lt;&gt;'Department view'!$C$4),"",COUNTIF($D$6:$D42,'Department view'!$C$4))</f>
        <v/>
      </c>
    </row>
    <row r="43" spans="1:31" x14ac:dyDescent="0.45">
      <c r="A43" s="15" t="str">
        <f>IF(Measures!$A43="","",Measures!$A43)</f>
        <v/>
      </c>
      <c r="B43" s="15" t="str">
        <f>IF(OR($A43="",Measures!$B43=""),"",Measures!$B43)</f>
        <v/>
      </c>
      <c r="C43" s="15" t="str">
        <f>IF(OR($A43="",Measures!$C43=""),"",Measures!$C43)</f>
        <v/>
      </c>
      <c r="D43" s="15" t="str">
        <f>IF(OR($A43="",Measures!$F43=""),"",Measures!$F43)</f>
        <v/>
      </c>
      <c r="E43" s="15" t="str">
        <f>IF(OR($A43="",Measures!$E43=""),"",Measures!$E43)</f>
        <v/>
      </c>
      <c r="F43" s="15" t="str">
        <f>IF(OR($A43="",Measures!$G43=""),"",Measures!$G43)</f>
        <v/>
      </c>
      <c r="G43" s="15" t="str">
        <f>IF(OR($A43="",Measures!$O43=""),"",Measures!$O43)</f>
        <v/>
      </c>
      <c r="H43" s="15" t="str">
        <f>IF(OR($A43="",Measures!$J43=""),"",Measures!$J43)</f>
        <v/>
      </c>
      <c r="I43" s="15" t="str">
        <f>IF(OR($A43="",Measures!$K43=""),"",Measures!$K43)</f>
        <v/>
      </c>
      <c r="J43" s="15" t="str">
        <f>IF(OR($A43="",Measures!$L43=""),"",Measures!$L43)</f>
        <v/>
      </c>
      <c r="K43" s="15" t="str">
        <f>IF(OR($A43="",Measures!$I43=""),"",Measures!$I43)</f>
        <v/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9" t="str">
        <f>IF($A43="","",IF(INDEX($L43:$W43,Setup!$B$7)="","",INDEX($L43:$W43,Setup!$B$7)))</f>
        <v/>
      </c>
      <c r="Y43" s="15" t="str">
        <f>IF(OR($A43="",Setup!$B$7&lt;2),"",IF(INDEX($L43:$W43,Setup!$B$7-1)="","",INDEX($L43:$W43,Setup!$B$7-1)))</f>
        <v/>
      </c>
      <c r="Z43" s="32" t="str">
        <f t="shared" si="3"/>
        <v/>
      </c>
      <c r="AA43" s="15" t="str">
        <f t="shared" si="4"/>
        <v/>
      </c>
      <c r="AB43" s="20"/>
      <c r="AC43" s="63" t="str">
        <f t="shared" si="5"/>
        <v/>
      </c>
      <c r="AD43" s="63" t="str">
        <f>IF(AC43="","",COUNTIF($AC$6:$AC$65,"&lt;"&amp;AC43)+COUNTIF($AC$6:AC43,AC43))</f>
        <v/>
      </c>
      <c r="AE43" s="63" t="str">
        <f>IF(OR($A43="",$D43&lt;&gt;'Department view'!$C$4),"",COUNTIF($D$6:$D43,'Department view'!$C$4))</f>
        <v/>
      </c>
    </row>
    <row r="44" spans="1:31" x14ac:dyDescent="0.45">
      <c r="A44" s="15" t="str">
        <f>IF(Measures!$A44="","",Measures!$A44)</f>
        <v/>
      </c>
      <c r="B44" s="15" t="str">
        <f>IF(OR($A44="",Measures!$B44=""),"",Measures!$B44)</f>
        <v/>
      </c>
      <c r="C44" s="15" t="str">
        <f>IF(OR($A44="",Measures!$C44=""),"",Measures!$C44)</f>
        <v/>
      </c>
      <c r="D44" s="15" t="str">
        <f>IF(OR($A44="",Measures!$F44=""),"",Measures!$F44)</f>
        <v/>
      </c>
      <c r="E44" s="15" t="str">
        <f>IF(OR($A44="",Measures!$E44=""),"",Measures!$E44)</f>
        <v/>
      </c>
      <c r="F44" s="15" t="str">
        <f>IF(OR($A44="",Measures!$G44=""),"",Measures!$G44)</f>
        <v/>
      </c>
      <c r="G44" s="15" t="str">
        <f>IF(OR($A44="",Measures!$O44=""),"",Measures!$O44)</f>
        <v/>
      </c>
      <c r="H44" s="15" t="str">
        <f>IF(OR($A44="",Measures!$J44=""),"",Measures!$J44)</f>
        <v/>
      </c>
      <c r="I44" s="15" t="str">
        <f>IF(OR($A44="",Measures!$K44=""),"",Measures!$K44)</f>
        <v/>
      </c>
      <c r="J44" s="15" t="str">
        <f>IF(OR($A44="",Measures!$L44=""),"",Measures!$L44)</f>
        <v/>
      </c>
      <c r="K44" s="15" t="str">
        <f>IF(OR($A44="",Measures!$I44=""),"",Measures!$I44)</f>
        <v/>
      </c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9" t="str">
        <f>IF($A44="","",IF(INDEX($L44:$W44,Setup!$B$7)="","",INDEX($L44:$W44,Setup!$B$7)))</f>
        <v/>
      </c>
      <c r="Y44" s="15" t="str">
        <f>IF(OR($A44="",Setup!$B$7&lt;2),"",IF(INDEX($L44:$W44,Setup!$B$7-1)="","",INDEX($L44:$W44,Setup!$B$7-1)))</f>
        <v/>
      </c>
      <c r="Z44" s="32" t="str">
        <f t="shared" si="3"/>
        <v/>
      </c>
      <c r="AA44" s="15" t="str">
        <f t="shared" si="4"/>
        <v/>
      </c>
      <c r="AB44" s="20"/>
      <c r="AC44" s="63" t="str">
        <f t="shared" si="5"/>
        <v/>
      </c>
      <c r="AD44" s="63" t="str">
        <f>IF(AC44="","",COUNTIF($AC$6:$AC$65,"&lt;"&amp;AC44)+COUNTIF($AC$6:AC44,AC44))</f>
        <v/>
      </c>
      <c r="AE44" s="63" t="str">
        <f>IF(OR($A44="",$D44&lt;&gt;'Department view'!$C$4),"",COUNTIF($D$6:$D44,'Department view'!$C$4))</f>
        <v/>
      </c>
    </row>
    <row r="45" spans="1:31" x14ac:dyDescent="0.45">
      <c r="A45" s="15" t="str">
        <f>IF(Measures!$A45="","",Measures!$A45)</f>
        <v/>
      </c>
      <c r="B45" s="15" t="str">
        <f>IF(OR($A45="",Measures!$B45=""),"",Measures!$B45)</f>
        <v/>
      </c>
      <c r="C45" s="15" t="str">
        <f>IF(OR($A45="",Measures!$C45=""),"",Measures!$C45)</f>
        <v/>
      </c>
      <c r="D45" s="15" t="str">
        <f>IF(OR($A45="",Measures!$F45=""),"",Measures!$F45)</f>
        <v/>
      </c>
      <c r="E45" s="15" t="str">
        <f>IF(OR($A45="",Measures!$E45=""),"",Measures!$E45)</f>
        <v/>
      </c>
      <c r="F45" s="15" t="str">
        <f>IF(OR($A45="",Measures!$G45=""),"",Measures!$G45)</f>
        <v/>
      </c>
      <c r="G45" s="15" t="str">
        <f>IF(OR($A45="",Measures!$O45=""),"",Measures!$O45)</f>
        <v/>
      </c>
      <c r="H45" s="15" t="str">
        <f>IF(OR($A45="",Measures!$J45=""),"",Measures!$J45)</f>
        <v/>
      </c>
      <c r="I45" s="15" t="str">
        <f>IF(OR($A45="",Measures!$K45=""),"",Measures!$K45)</f>
        <v/>
      </c>
      <c r="J45" s="15" t="str">
        <f>IF(OR($A45="",Measures!$L45=""),"",Measures!$L45)</f>
        <v/>
      </c>
      <c r="K45" s="15" t="str">
        <f>IF(OR($A45="",Measures!$I45=""),"",Measures!$I45)</f>
        <v/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9" t="str">
        <f>IF($A45="","",IF(INDEX($L45:$W45,Setup!$B$7)="","",INDEX($L45:$W45,Setup!$B$7)))</f>
        <v/>
      </c>
      <c r="Y45" s="15" t="str">
        <f>IF(OR($A45="",Setup!$B$7&lt;2),"",IF(INDEX($L45:$W45,Setup!$B$7-1)="","",INDEX($L45:$W45,Setup!$B$7-1)))</f>
        <v/>
      </c>
      <c r="Z45" s="32" t="str">
        <f t="shared" si="3"/>
        <v/>
      </c>
      <c r="AA45" s="15" t="str">
        <f t="shared" si="4"/>
        <v/>
      </c>
      <c r="AB45" s="20"/>
      <c r="AC45" s="63" t="str">
        <f t="shared" si="5"/>
        <v/>
      </c>
      <c r="AD45" s="63" t="str">
        <f>IF(AC45="","",COUNTIF($AC$6:$AC$65,"&lt;"&amp;AC45)+COUNTIF($AC$6:AC45,AC45))</f>
        <v/>
      </c>
      <c r="AE45" s="63" t="str">
        <f>IF(OR($A45="",$D45&lt;&gt;'Department view'!$C$4),"",COUNTIF($D$6:$D45,'Department view'!$C$4))</f>
        <v/>
      </c>
    </row>
    <row r="46" spans="1:31" x14ac:dyDescent="0.45">
      <c r="A46" s="15" t="str">
        <f>IF(Measures!$A46="","",Measures!$A46)</f>
        <v/>
      </c>
      <c r="B46" s="15" t="str">
        <f>IF(OR($A46="",Measures!$B46=""),"",Measures!$B46)</f>
        <v/>
      </c>
      <c r="C46" s="15" t="str">
        <f>IF(OR($A46="",Measures!$C46=""),"",Measures!$C46)</f>
        <v/>
      </c>
      <c r="D46" s="15" t="str">
        <f>IF(OR($A46="",Measures!$F46=""),"",Measures!$F46)</f>
        <v/>
      </c>
      <c r="E46" s="15" t="str">
        <f>IF(OR($A46="",Measures!$E46=""),"",Measures!$E46)</f>
        <v/>
      </c>
      <c r="F46" s="15" t="str">
        <f>IF(OR($A46="",Measures!$G46=""),"",Measures!$G46)</f>
        <v/>
      </c>
      <c r="G46" s="15" t="str">
        <f>IF(OR($A46="",Measures!$O46=""),"",Measures!$O46)</f>
        <v/>
      </c>
      <c r="H46" s="15" t="str">
        <f>IF(OR($A46="",Measures!$J46=""),"",Measures!$J46)</f>
        <v/>
      </c>
      <c r="I46" s="15" t="str">
        <f>IF(OR($A46="",Measures!$K46=""),"",Measures!$K46)</f>
        <v/>
      </c>
      <c r="J46" s="15" t="str">
        <f>IF(OR($A46="",Measures!$L46=""),"",Measures!$L46)</f>
        <v/>
      </c>
      <c r="K46" s="15" t="str">
        <f>IF(OR($A46="",Measures!$I46=""),"",Measures!$I46)</f>
        <v/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9" t="str">
        <f>IF($A46="","",IF(INDEX($L46:$W46,Setup!$B$7)="","",INDEX($L46:$W46,Setup!$B$7)))</f>
        <v/>
      </c>
      <c r="Y46" s="15" t="str">
        <f>IF(OR($A46="",Setup!$B$7&lt;2),"",IF(INDEX($L46:$W46,Setup!$B$7-1)="","",INDEX($L46:$W46,Setup!$B$7-1)))</f>
        <v/>
      </c>
      <c r="Z46" s="32" t="str">
        <f t="shared" si="3"/>
        <v/>
      </c>
      <c r="AA46" s="15" t="str">
        <f t="shared" si="4"/>
        <v/>
      </c>
      <c r="AB46" s="20"/>
      <c r="AC46" s="63" t="str">
        <f t="shared" si="5"/>
        <v/>
      </c>
      <c r="AD46" s="63" t="str">
        <f>IF(AC46="","",COUNTIF($AC$6:$AC$65,"&lt;"&amp;AC46)+COUNTIF($AC$6:AC46,AC46))</f>
        <v/>
      </c>
      <c r="AE46" s="63" t="str">
        <f>IF(OR($A46="",$D46&lt;&gt;'Department view'!$C$4),"",COUNTIF($D$6:$D46,'Department view'!$C$4))</f>
        <v/>
      </c>
    </row>
    <row r="47" spans="1:31" x14ac:dyDescent="0.45">
      <c r="A47" s="15" t="str">
        <f>IF(Measures!$A47="","",Measures!$A47)</f>
        <v/>
      </c>
      <c r="B47" s="15" t="str">
        <f>IF(OR($A47="",Measures!$B47=""),"",Measures!$B47)</f>
        <v/>
      </c>
      <c r="C47" s="15" t="str">
        <f>IF(OR($A47="",Measures!$C47=""),"",Measures!$C47)</f>
        <v/>
      </c>
      <c r="D47" s="15" t="str">
        <f>IF(OR($A47="",Measures!$F47=""),"",Measures!$F47)</f>
        <v/>
      </c>
      <c r="E47" s="15" t="str">
        <f>IF(OR($A47="",Measures!$E47=""),"",Measures!$E47)</f>
        <v/>
      </c>
      <c r="F47" s="15" t="str">
        <f>IF(OR($A47="",Measures!$G47=""),"",Measures!$G47)</f>
        <v/>
      </c>
      <c r="G47" s="15" t="str">
        <f>IF(OR($A47="",Measures!$O47=""),"",Measures!$O47)</f>
        <v/>
      </c>
      <c r="H47" s="15" t="str">
        <f>IF(OR($A47="",Measures!$J47=""),"",Measures!$J47)</f>
        <v/>
      </c>
      <c r="I47" s="15" t="str">
        <f>IF(OR($A47="",Measures!$K47=""),"",Measures!$K47)</f>
        <v/>
      </c>
      <c r="J47" s="15" t="str">
        <f>IF(OR($A47="",Measures!$L47=""),"",Measures!$L47)</f>
        <v/>
      </c>
      <c r="K47" s="15" t="str">
        <f>IF(OR($A47="",Measures!$I47=""),"",Measures!$I47)</f>
        <v/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9" t="str">
        <f>IF($A47="","",IF(INDEX($L47:$W47,Setup!$B$7)="","",INDEX($L47:$W47,Setup!$B$7)))</f>
        <v/>
      </c>
      <c r="Y47" s="15" t="str">
        <f>IF(OR($A47="",Setup!$B$7&lt;2),"",IF(INDEX($L47:$W47,Setup!$B$7-1)="","",INDEX($L47:$W47,Setup!$B$7-1)))</f>
        <v/>
      </c>
      <c r="Z47" s="32" t="str">
        <f t="shared" si="3"/>
        <v/>
      </c>
      <c r="AA47" s="15" t="str">
        <f t="shared" si="4"/>
        <v/>
      </c>
      <c r="AB47" s="20"/>
      <c r="AC47" s="63" t="str">
        <f t="shared" si="5"/>
        <v/>
      </c>
      <c r="AD47" s="63" t="str">
        <f>IF(AC47="","",COUNTIF($AC$6:$AC$65,"&lt;"&amp;AC47)+COUNTIF($AC$6:AC47,AC47))</f>
        <v/>
      </c>
      <c r="AE47" s="63" t="str">
        <f>IF(OR($A47="",$D47&lt;&gt;'Department view'!$C$4),"",COUNTIF($D$6:$D47,'Department view'!$C$4))</f>
        <v/>
      </c>
    </row>
    <row r="48" spans="1:31" x14ac:dyDescent="0.45">
      <c r="A48" s="15" t="str">
        <f>IF(Measures!$A48="","",Measures!$A48)</f>
        <v/>
      </c>
      <c r="B48" s="15" t="str">
        <f>IF(OR($A48="",Measures!$B48=""),"",Measures!$B48)</f>
        <v/>
      </c>
      <c r="C48" s="15" t="str">
        <f>IF(OR($A48="",Measures!$C48=""),"",Measures!$C48)</f>
        <v/>
      </c>
      <c r="D48" s="15" t="str">
        <f>IF(OR($A48="",Measures!$F48=""),"",Measures!$F48)</f>
        <v/>
      </c>
      <c r="E48" s="15" t="str">
        <f>IF(OR($A48="",Measures!$E48=""),"",Measures!$E48)</f>
        <v/>
      </c>
      <c r="F48" s="15" t="str">
        <f>IF(OR($A48="",Measures!$G48=""),"",Measures!$G48)</f>
        <v/>
      </c>
      <c r="G48" s="15" t="str">
        <f>IF(OR($A48="",Measures!$O48=""),"",Measures!$O48)</f>
        <v/>
      </c>
      <c r="H48" s="15" t="str">
        <f>IF(OR($A48="",Measures!$J48=""),"",Measures!$J48)</f>
        <v/>
      </c>
      <c r="I48" s="15" t="str">
        <f>IF(OR($A48="",Measures!$K48=""),"",Measures!$K48)</f>
        <v/>
      </c>
      <c r="J48" s="15" t="str">
        <f>IF(OR($A48="",Measures!$L48=""),"",Measures!$L48)</f>
        <v/>
      </c>
      <c r="K48" s="15" t="str">
        <f>IF(OR($A48="",Measures!$I48=""),"",Measures!$I48)</f>
        <v/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9" t="str">
        <f>IF($A48="","",IF(INDEX($L48:$W48,Setup!$B$7)="","",INDEX($L48:$W48,Setup!$B$7)))</f>
        <v/>
      </c>
      <c r="Y48" s="15" t="str">
        <f>IF(OR($A48="",Setup!$B$7&lt;2),"",IF(INDEX($L48:$W48,Setup!$B$7-1)="","",INDEX($L48:$W48,Setup!$B$7-1)))</f>
        <v/>
      </c>
      <c r="Z48" s="32" t="str">
        <f t="shared" si="3"/>
        <v/>
      </c>
      <c r="AA48" s="15" t="str">
        <f t="shared" si="4"/>
        <v/>
      </c>
      <c r="AB48" s="20"/>
      <c r="AC48" s="63" t="str">
        <f t="shared" si="5"/>
        <v/>
      </c>
      <c r="AD48" s="63" t="str">
        <f>IF(AC48="","",COUNTIF($AC$6:$AC$65,"&lt;"&amp;AC48)+COUNTIF($AC$6:AC48,AC48))</f>
        <v/>
      </c>
      <c r="AE48" s="63" t="str">
        <f>IF(OR($A48="",$D48&lt;&gt;'Department view'!$C$4),"",COUNTIF($D$6:$D48,'Department view'!$C$4))</f>
        <v/>
      </c>
    </row>
    <row r="49" spans="1:31" x14ac:dyDescent="0.45">
      <c r="A49" s="15" t="str">
        <f>IF(Measures!$A49="","",Measures!$A49)</f>
        <v/>
      </c>
      <c r="B49" s="15" t="str">
        <f>IF(OR($A49="",Measures!$B49=""),"",Measures!$B49)</f>
        <v/>
      </c>
      <c r="C49" s="15" t="str">
        <f>IF(OR($A49="",Measures!$C49=""),"",Measures!$C49)</f>
        <v/>
      </c>
      <c r="D49" s="15" t="str">
        <f>IF(OR($A49="",Measures!$F49=""),"",Measures!$F49)</f>
        <v/>
      </c>
      <c r="E49" s="15" t="str">
        <f>IF(OR($A49="",Measures!$E49=""),"",Measures!$E49)</f>
        <v/>
      </c>
      <c r="F49" s="15" t="str">
        <f>IF(OR($A49="",Measures!$G49=""),"",Measures!$G49)</f>
        <v/>
      </c>
      <c r="G49" s="15" t="str">
        <f>IF(OR($A49="",Measures!$O49=""),"",Measures!$O49)</f>
        <v/>
      </c>
      <c r="H49" s="15" t="str">
        <f>IF(OR($A49="",Measures!$J49=""),"",Measures!$J49)</f>
        <v/>
      </c>
      <c r="I49" s="15" t="str">
        <f>IF(OR($A49="",Measures!$K49=""),"",Measures!$K49)</f>
        <v/>
      </c>
      <c r="J49" s="15" t="str">
        <f>IF(OR($A49="",Measures!$L49=""),"",Measures!$L49)</f>
        <v/>
      </c>
      <c r="K49" s="15" t="str">
        <f>IF(OR($A49="",Measures!$I49=""),"",Measures!$I49)</f>
        <v/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9" t="str">
        <f>IF($A49="","",IF(INDEX($L49:$W49,Setup!$B$7)="","",INDEX($L49:$W49,Setup!$B$7)))</f>
        <v/>
      </c>
      <c r="Y49" s="15" t="str">
        <f>IF(OR($A49="",Setup!$B$7&lt;2),"",IF(INDEX($L49:$W49,Setup!$B$7-1)="","",INDEX($L49:$W49,Setup!$B$7-1)))</f>
        <v/>
      </c>
      <c r="Z49" s="32" t="str">
        <f t="shared" si="3"/>
        <v/>
      </c>
      <c r="AA49" s="15" t="str">
        <f t="shared" si="4"/>
        <v/>
      </c>
      <c r="AB49" s="20"/>
      <c r="AC49" s="63" t="str">
        <f t="shared" si="5"/>
        <v/>
      </c>
      <c r="AD49" s="63" t="str">
        <f>IF(AC49="","",COUNTIF($AC$6:$AC$65,"&lt;"&amp;AC49)+COUNTIF($AC$6:AC49,AC49))</f>
        <v/>
      </c>
      <c r="AE49" s="63" t="str">
        <f>IF(OR($A49="",$D49&lt;&gt;'Department view'!$C$4),"",COUNTIF($D$6:$D49,'Department view'!$C$4))</f>
        <v/>
      </c>
    </row>
    <row r="50" spans="1:31" x14ac:dyDescent="0.45">
      <c r="A50" s="15" t="str">
        <f>IF(Measures!$A50="","",Measures!$A50)</f>
        <v/>
      </c>
      <c r="B50" s="15" t="str">
        <f>IF(OR($A50="",Measures!$B50=""),"",Measures!$B50)</f>
        <v/>
      </c>
      <c r="C50" s="15" t="str">
        <f>IF(OR($A50="",Measures!$C50=""),"",Measures!$C50)</f>
        <v/>
      </c>
      <c r="D50" s="15" t="str">
        <f>IF(OR($A50="",Measures!$F50=""),"",Measures!$F50)</f>
        <v/>
      </c>
      <c r="E50" s="15" t="str">
        <f>IF(OR($A50="",Measures!$E50=""),"",Measures!$E50)</f>
        <v/>
      </c>
      <c r="F50" s="15" t="str">
        <f>IF(OR($A50="",Measures!$G50=""),"",Measures!$G50)</f>
        <v/>
      </c>
      <c r="G50" s="15" t="str">
        <f>IF(OR($A50="",Measures!$O50=""),"",Measures!$O50)</f>
        <v/>
      </c>
      <c r="H50" s="15" t="str">
        <f>IF(OR($A50="",Measures!$J50=""),"",Measures!$J50)</f>
        <v/>
      </c>
      <c r="I50" s="15" t="str">
        <f>IF(OR($A50="",Measures!$K50=""),"",Measures!$K50)</f>
        <v/>
      </c>
      <c r="J50" s="15" t="str">
        <f>IF(OR($A50="",Measures!$L50=""),"",Measures!$L50)</f>
        <v/>
      </c>
      <c r="K50" s="15" t="str">
        <f>IF(OR($A50="",Measures!$I50=""),"",Measures!$I50)</f>
        <v/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9" t="str">
        <f>IF($A50="","",IF(INDEX($L50:$W50,Setup!$B$7)="","",INDEX($L50:$W50,Setup!$B$7)))</f>
        <v/>
      </c>
      <c r="Y50" s="15" t="str">
        <f>IF(OR($A50="",Setup!$B$7&lt;2),"",IF(INDEX($L50:$W50,Setup!$B$7-1)="","",INDEX($L50:$W50,Setup!$B$7-1)))</f>
        <v/>
      </c>
      <c r="Z50" s="32" t="str">
        <f t="shared" si="3"/>
        <v/>
      </c>
      <c r="AA50" s="15" t="str">
        <f t="shared" si="4"/>
        <v/>
      </c>
      <c r="AB50" s="20"/>
      <c r="AC50" s="63" t="str">
        <f t="shared" si="5"/>
        <v/>
      </c>
      <c r="AD50" s="63" t="str">
        <f>IF(AC50="","",COUNTIF($AC$6:$AC$65,"&lt;"&amp;AC50)+COUNTIF($AC$6:AC50,AC50))</f>
        <v/>
      </c>
      <c r="AE50" s="63" t="str">
        <f>IF(OR($A50="",$D50&lt;&gt;'Department view'!$C$4),"",COUNTIF($D$6:$D50,'Department view'!$C$4))</f>
        <v/>
      </c>
    </row>
    <row r="51" spans="1:31" x14ac:dyDescent="0.45">
      <c r="A51" s="15" t="str">
        <f>IF(Measures!$A51="","",Measures!$A51)</f>
        <v/>
      </c>
      <c r="B51" s="15" t="str">
        <f>IF(OR($A51="",Measures!$B51=""),"",Measures!$B51)</f>
        <v/>
      </c>
      <c r="C51" s="15" t="str">
        <f>IF(OR($A51="",Measures!$C51=""),"",Measures!$C51)</f>
        <v/>
      </c>
      <c r="D51" s="15" t="str">
        <f>IF(OR($A51="",Measures!$F51=""),"",Measures!$F51)</f>
        <v/>
      </c>
      <c r="E51" s="15" t="str">
        <f>IF(OR($A51="",Measures!$E51=""),"",Measures!$E51)</f>
        <v/>
      </c>
      <c r="F51" s="15" t="str">
        <f>IF(OR($A51="",Measures!$G51=""),"",Measures!$G51)</f>
        <v/>
      </c>
      <c r="G51" s="15" t="str">
        <f>IF(OR($A51="",Measures!$O51=""),"",Measures!$O51)</f>
        <v/>
      </c>
      <c r="H51" s="15" t="str">
        <f>IF(OR($A51="",Measures!$J51=""),"",Measures!$J51)</f>
        <v/>
      </c>
      <c r="I51" s="15" t="str">
        <f>IF(OR($A51="",Measures!$K51=""),"",Measures!$K51)</f>
        <v/>
      </c>
      <c r="J51" s="15" t="str">
        <f>IF(OR($A51="",Measures!$L51=""),"",Measures!$L51)</f>
        <v/>
      </c>
      <c r="K51" s="15" t="str">
        <f>IF(OR($A51="",Measures!$I51=""),"",Measures!$I51)</f>
        <v/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9" t="str">
        <f>IF($A51="","",IF(INDEX($L51:$W51,Setup!$B$7)="","",INDEX($L51:$W51,Setup!$B$7)))</f>
        <v/>
      </c>
      <c r="Y51" s="15" t="str">
        <f>IF(OR($A51="",Setup!$B$7&lt;2),"",IF(INDEX($L51:$W51,Setup!$B$7-1)="","",INDEX($L51:$W51,Setup!$B$7-1)))</f>
        <v/>
      </c>
      <c r="Z51" s="32" t="str">
        <f t="shared" si="3"/>
        <v/>
      </c>
      <c r="AA51" s="15" t="str">
        <f t="shared" si="4"/>
        <v/>
      </c>
      <c r="AB51" s="20"/>
      <c r="AC51" s="63" t="str">
        <f t="shared" si="5"/>
        <v/>
      </c>
      <c r="AD51" s="63" t="str">
        <f>IF(AC51="","",COUNTIF($AC$6:$AC$65,"&lt;"&amp;AC51)+COUNTIF($AC$6:AC51,AC51))</f>
        <v/>
      </c>
      <c r="AE51" s="63" t="str">
        <f>IF(OR($A51="",$D51&lt;&gt;'Department view'!$C$4),"",COUNTIF($D$6:$D51,'Department view'!$C$4))</f>
        <v/>
      </c>
    </row>
    <row r="52" spans="1:31" x14ac:dyDescent="0.45">
      <c r="A52" s="15" t="str">
        <f>IF(Measures!$A52="","",Measures!$A52)</f>
        <v/>
      </c>
      <c r="B52" s="15" t="str">
        <f>IF(OR($A52="",Measures!$B52=""),"",Measures!$B52)</f>
        <v/>
      </c>
      <c r="C52" s="15" t="str">
        <f>IF(OR($A52="",Measures!$C52=""),"",Measures!$C52)</f>
        <v/>
      </c>
      <c r="D52" s="15" t="str">
        <f>IF(OR($A52="",Measures!$F52=""),"",Measures!$F52)</f>
        <v/>
      </c>
      <c r="E52" s="15" t="str">
        <f>IF(OR($A52="",Measures!$E52=""),"",Measures!$E52)</f>
        <v/>
      </c>
      <c r="F52" s="15" t="str">
        <f>IF(OR($A52="",Measures!$G52=""),"",Measures!$G52)</f>
        <v/>
      </c>
      <c r="G52" s="15" t="str">
        <f>IF(OR($A52="",Measures!$O52=""),"",Measures!$O52)</f>
        <v/>
      </c>
      <c r="H52" s="15" t="str">
        <f>IF(OR($A52="",Measures!$J52=""),"",Measures!$J52)</f>
        <v/>
      </c>
      <c r="I52" s="15" t="str">
        <f>IF(OR($A52="",Measures!$K52=""),"",Measures!$K52)</f>
        <v/>
      </c>
      <c r="J52" s="15" t="str">
        <f>IF(OR($A52="",Measures!$L52=""),"",Measures!$L52)</f>
        <v/>
      </c>
      <c r="K52" s="15" t="str">
        <f>IF(OR($A52="",Measures!$I52=""),"",Measures!$I52)</f>
        <v/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9" t="str">
        <f>IF($A52="","",IF(INDEX($L52:$W52,Setup!$B$7)="","",INDEX($L52:$W52,Setup!$B$7)))</f>
        <v/>
      </c>
      <c r="Y52" s="15" t="str">
        <f>IF(OR($A52="",Setup!$B$7&lt;2),"",IF(INDEX($L52:$W52,Setup!$B$7-1)="","",INDEX($L52:$W52,Setup!$B$7-1)))</f>
        <v/>
      </c>
      <c r="Z52" s="32" t="str">
        <f t="shared" si="3"/>
        <v/>
      </c>
      <c r="AA52" s="15" t="str">
        <f t="shared" si="4"/>
        <v/>
      </c>
      <c r="AB52" s="20"/>
      <c r="AC52" s="63" t="str">
        <f t="shared" si="5"/>
        <v/>
      </c>
      <c r="AD52" s="63" t="str">
        <f>IF(AC52="","",COUNTIF($AC$6:$AC$65,"&lt;"&amp;AC52)+COUNTIF($AC$6:AC52,AC52))</f>
        <v/>
      </c>
      <c r="AE52" s="63" t="str">
        <f>IF(OR($A52="",$D52&lt;&gt;'Department view'!$C$4),"",COUNTIF($D$6:$D52,'Department view'!$C$4))</f>
        <v/>
      </c>
    </row>
    <row r="53" spans="1:31" x14ac:dyDescent="0.45">
      <c r="A53" s="15" t="str">
        <f>IF(Measures!$A53="","",Measures!$A53)</f>
        <v/>
      </c>
      <c r="B53" s="15" t="str">
        <f>IF(OR($A53="",Measures!$B53=""),"",Measures!$B53)</f>
        <v/>
      </c>
      <c r="C53" s="15" t="str">
        <f>IF(OR($A53="",Measures!$C53=""),"",Measures!$C53)</f>
        <v/>
      </c>
      <c r="D53" s="15" t="str">
        <f>IF(OR($A53="",Measures!$F53=""),"",Measures!$F53)</f>
        <v/>
      </c>
      <c r="E53" s="15" t="str">
        <f>IF(OR($A53="",Measures!$E53=""),"",Measures!$E53)</f>
        <v/>
      </c>
      <c r="F53" s="15" t="str">
        <f>IF(OR($A53="",Measures!$G53=""),"",Measures!$G53)</f>
        <v/>
      </c>
      <c r="G53" s="15" t="str">
        <f>IF(OR($A53="",Measures!$O53=""),"",Measures!$O53)</f>
        <v/>
      </c>
      <c r="H53" s="15" t="str">
        <f>IF(OR($A53="",Measures!$J53=""),"",Measures!$J53)</f>
        <v/>
      </c>
      <c r="I53" s="15" t="str">
        <f>IF(OR($A53="",Measures!$K53=""),"",Measures!$K53)</f>
        <v/>
      </c>
      <c r="J53" s="15" t="str">
        <f>IF(OR($A53="",Measures!$L53=""),"",Measures!$L53)</f>
        <v/>
      </c>
      <c r="K53" s="15" t="str">
        <f>IF(OR($A53="",Measures!$I53=""),"",Measures!$I53)</f>
        <v/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9" t="str">
        <f>IF($A53="","",IF(INDEX($L53:$W53,Setup!$B$7)="","",INDEX($L53:$W53,Setup!$B$7)))</f>
        <v/>
      </c>
      <c r="Y53" s="15" t="str">
        <f>IF(OR($A53="",Setup!$B$7&lt;2),"",IF(INDEX($L53:$W53,Setup!$B$7-1)="","",INDEX($L53:$W53,Setup!$B$7-1)))</f>
        <v/>
      </c>
      <c r="Z53" s="32" t="str">
        <f t="shared" si="3"/>
        <v/>
      </c>
      <c r="AA53" s="15" t="str">
        <f t="shared" si="4"/>
        <v/>
      </c>
      <c r="AB53" s="20"/>
      <c r="AC53" s="63" t="str">
        <f t="shared" si="5"/>
        <v/>
      </c>
      <c r="AD53" s="63" t="str">
        <f>IF(AC53="","",COUNTIF($AC$6:$AC$65,"&lt;"&amp;AC53)+COUNTIF($AC$6:AC53,AC53))</f>
        <v/>
      </c>
      <c r="AE53" s="63" t="str">
        <f>IF(OR($A53="",$D53&lt;&gt;'Department view'!$C$4),"",COUNTIF($D$6:$D53,'Department view'!$C$4))</f>
        <v/>
      </c>
    </row>
    <row r="54" spans="1:31" x14ac:dyDescent="0.45">
      <c r="A54" s="15" t="str">
        <f>IF(Measures!$A54="","",Measures!$A54)</f>
        <v/>
      </c>
      <c r="B54" s="15" t="str">
        <f>IF(OR($A54="",Measures!$B54=""),"",Measures!$B54)</f>
        <v/>
      </c>
      <c r="C54" s="15" t="str">
        <f>IF(OR($A54="",Measures!$C54=""),"",Measures!$C54)</f>
        <v/>
      </c>
      <c r="D54" s="15" t="str">
        <f>IF(OR($A54="",Measures!$F54=""),"",Measures!$F54)</f>
        <v/>
      </c>
      <c r="E54" s="15" t="str">
        <f>IF(OR($A54="",Measures!$E54=""),"",Measures!$E54)</f>
        <v/>
      </c>
      <c r="F54" s="15" t="str">
        <f>IF(OR($A54="",Measures!$G54=""),"",Measures!$G54)</f>
        <v/>
      </c>
      <c r="G54" s="15" t="str">
        <f>IF(OR($A54="",Measures!$O54=""),"",Measures!$O54)</f>
        <v/>
      </c>
      <c r="H54" s="15" t="str">
        <f>IF(OR($A54="",Measures!$J54=""),"",Measures!$J54)</f>
        <v/>
      </c>
      <c r="I54" s="15" t="str">
        <f>IF(OR($A54="",Measures!$K54=""),"",Measures!$K54)</f>
        <v/>
      </c>
      <c r="J54" s="15" t="str">
        <f>IF(OR($A54="",Measures!$L54=""),"",Measures!$L54)</f>
        <v/>
      </c>
      <c r="K54" s="15" t="str">
        <f>IF(OR($A54="",Measures!$I54=""),"",Measures!$I54)</f>
        <v/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9" t="str">
        <f>IF($A54="","",IF(INDEX($L54:$W54,Setup!$B$7)="","",INDEX($L54:$W54,Setup!$B$7)))</f>
        <v/>
      </c>
      <c r="Y54" s="15" t="str">
        <f>IF(OR($A54="",Setup!$B$7&lt;2),"",IF(INDEX($L54:$W54,Setup!$B$7-1)="","",INDEX($L54:$W54,Setup!$B$7-1)))</f>
        <v/>
      </c>
      <c r="Z54" s="32" t="str">
        <f t="shared" si="3"/>
        <v/>
      </c>
      <c r="AA54" s="15" t="str">
        <f t="shared" si="4"/>
        <v/>
      </c>
      <c r="AB54" s="20"/>
      <c r="AC54" s="63" t="str">
        <f t="shared" si="5"/>
        <v/>
      </c>
      <c r="AD54" s="63" t="str">
        <f>IF(AC54="","",COUNTIF($AC$6:$AC$65,"&lt;"&amp;AC54)+COUNTIF($AC$6:AC54,AC54))</f>
        <v/>
      </c>
      <c r="AE54" s="63" t="str">
        <f>IF(OR($A54="",$D54&lt;&gt;'Department view'!$C$4),"",COUNTIF($D$6:$D54,'Department view'!$C$4))</f>
        <v/>
      </c>
    </row>
    <row r="55" spans="1:31" x14ac:dyDescent="0.45">
      <c r="A55" s="15" t="str">
        <f>IF(Measures!$A55="","",Measures!$A55)</f>
        <v/>
      </c>
      <c r="B55" s="15" t="str">
        <f>IF(OR($A55="",Measures!$B55=""),"",Measures!$B55)</f>
        <v/>
      </c>
      <c r="C55" s="15" t="str">
        <f>IF(OR($A55="",Measures!$C55=""),"",Measures!$C55)</f>
        <v/>
      </c>
      <c r="D55" s="15" t="str">
        <f>IF(OR($A55="",Measures!$F55=""),"",Measures!$F55)</f>
        <v/>
      </c>
      <c r="E55" s="15" t="str">
        <f>IF(OR($A55="",Measures!$E55=""),"",Measures!$E55)</f>
        <v/>
      </c>
      <c r="F55" s="15" t="str">
        <f>IF(OR($A55="",Measures!$G55=""),"",Measures!$G55)</f>
        <v/>
      </c>
      <c r="G55" s="15" t="str">
        <f>IF(OR($A55="",Measures!$O55=""),"",Measures!$O55)</f>
        <v/>
      </c>
      <c r="H55" s="15" t="str">
        <f>IF(OR($A55="",Measures!$J55=""),"",Measures!$J55)</f>
        <v/>
      </c>
      <c r="I55" s="15" t="str">
        <f>IF(OR($A55="",Measures!$K55=""),"",Measures!$K55)</f>
        <v/>
      </c>
      <c r="J55" s="15" t="str">
        <f>IF(OR($A55="",Measures!$L55=""),"",Measures!$L55)</f>
        <v/>
      </c>
      <c r="K55" s="15" t="str">
        <f>IF(OR($A55="",Measures!$I55=""),"",Measures!$I55)</f>
        <v/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9" t="str">
        <f>IF($A55="","",IF(INDEX($L55:$W55,Setup!$B$7)="","",INDEX($L55:$W55,Setup!$B$7)))</f>
        <v/>
      </c>
      <c r="Y55" s="15" t="str">
        <f>IF(OR($A55="",Setup!$B$7&lt;2),"",IF(INDEX($L55:$W55,Setup!$B$7-1)="","",INDEX($L55:$W55,Setup!$B$7-1)))</f>
        <v/>
      </c>
      <c r="Z55" s="32" t="str">
        <f t="shared" si="3"/>
        <v/>
      </c>
      <c r="AA55" s="15" t="str">
        <f t="shared" si="4"/>
        <v/>
      </c>
      <c r="AB55" s="20"/>
      <c r="AC55" s="63" t="str">
        <f t="shared" si="5"/>
        <v/>
      </c>
      <c r="AD55" s="63" t="str">
        <f>IF(AC55="","",COUNTIF($AC$6:$AC$65,"&lt;"&amp;AC55)+COUNTIF($AC$6:AC55,AC55))</f>
        <v/>
      </c>
      <c r="AE55" s="63" t="str">
        <f>IF(OR($A55="",$D55&lt;&gt;'Department view'!$C$4),"",COUNTIF($D$6:$D55,'Department view'!$C$4))</f>
        <v/>
      </c>
    </row>
    <row r="56" spans="1:31" x14ac:dyDescent="0.45">
      <c r="A56" s="15" t="str">
        <f>IF(Measures!$A56="","",Measures!$A56)</f>
        <v/>
      </c>
      <c r="B56" s="15" t="str">
        <f>IF(OR($A56="",Measures!$B56=""),"",Measures!$B56)</f>
        <v/>
      </c>
      <c r="C56" s="15" t="str">
        <f>IF(OR($A56="",Measures!$C56=""),"",Measures!$C56)</f>
        <v/>
      </c>
      <c r="D56" s="15" t="str">
        <f>IF(OR($A56="",Measures!$F56=""),"",Measures!$F56)</f>
        <v/>
      </c>
      <c r="E56" s="15" t="str">
        <f>IF(OR($A56="",Measures!$E56=""),"",Measures!$E56)</f>
        <v/>
      </c>
      <c r="F56" s="15" t="str">
        <f>IF(OR($A56="",Measures!$G56=""),"",Measures!$G56)</f>
        <v/>
      </c>
      <c r="G56" s="15" t="str">
        <f>IF(OR($A56="",Measures!$O56=""),"",Measures!$O56)</f>
        <v/>
      </c>
      <c r="H56" s="15" t="str">
        <f>IF(OR($A56="",Measures!$J56=""),"",Measures!$J56)</f>
        <v/>
      </c>
      <c r="I56" s="15" t="str">
        <f>IF(OR($A56="",Measures!$K56=""),"",Measures!$K56)</f>
        <v/>
      </c>
      <c r="J56" s="15" t="str">
        <f>IF(OR($A56="",Measures!$L56=""),"",Measures!$L56)</f>
        <v/>
      </c>
      <c r="K56" s="15" t="str">
        <f>IF(OR($A56="",Measures!$I56=""),"",Measures!$I56)</f>
        <v/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9" t="str">
        <f>IF($A56="","",IF(INDEX($L56:$W56,Setup!$B$7)="","",INDEX($L56:$W56,Setup!$B$7)))</f>
        <v/>
      </c>
      <c r="Y56" s="15" t="str">
        <f>IF(OR($A56="",Setup!$B$7&lt;2),"",IF(INDEX($L56:$W56,Setup!$B$7-1)="","",INDEX($L56:$W56,Setup!$B$7-1)))</f>
        <v/>
      </c>
      <c r="Z56" s="32" t="str">
        <f t="shared" si="3"/>
        <v/>
      </c>
      <c r="AA56" s="15" t="str">
        <f t="shared" si="4"/>
        <v/>
      </c>
      <c r="AB56" s="20"/>
      <c r="AC56" s="63" t="str">
        <f t="shared" si="5"/>
        <v/>
      </c>
      <c r="AD56" s="63" t="str">
        <f>IF(AC56="","",COUNTIF($AC$6:$AC$65,"&lt;"&amp;AC56)+COUNTIF($AC$6:AC56,AC56))</f>
        <v/>
      </c>
      <c r="AE56" s="63" t="str">
        <f>IF(OR($A56="",$D56&lt;&gt;'Department view'!$C$4),"",COUNTIF($D$6:$D56,'Department view'!$C$4))</f>
        <v/>
      </c>
    </row>
    <row r="57" spans="1:31" x14ac:dyDescent="0.45">
      <c r="A57" s="15" t="str">
        <f>IF(Measures!$A57="","",Measures!$A57)</f>
        <v/>
      </c>
      <c r="B57" s="15" t="str">
        <f>IF(OR($A57="",Measures!$B57=""),"",Measures!$B57)</f>
        <v/>
      </c>
      <c r="C57" s="15" t="str">
        <f>IF(OR($A57="",Measures!$C57=""),"",Measures!$C57)</f>
        <v/>
      </c>
      <c r="D57" s="15" t="str">
        <f>IF(OR($A57="",Measures!$F57=""),"",Measures!$F57)</f>
        <v/>
      </c>
      <c r="E57" s="15" t="str">
        <f>IF(OR($A57="",Measures!$E57=""),"",Measures!$E57)</f>
        <v/>
      </c>
      <c r="F57" s="15" t="str">
        <f>IF(OR($A57="",Measures!$G57=""),"",Measures!$G57)</f>
        <v/>
      </c>
      <c r="G57" s="15" t="str">
        <f>IF(OR($A57="",Measures!$O57=""),"",Measures!$O57)</f>
        <v/>
      </c>
      <c r="H57" s="15" t="str">
        <f>IF(OR($A57="",Measures!$J57=""),"",Measures!$J57)</f>
        <v/>
      </c>
      <c r="I57" s="15" t="str">
        <f>IF(OR($A57="",Measures!$K57=""),"",Measures!$K57)</f>
        <v/>
      </c>
      <c r="J57" s="15" t="str">
        <f>IF(OR($A57="",Measures!$L57=""),"",Measures!$L57)</f>
        <v/>
      </c>
      <c r="K57" s="15" t="str">
        <f>IF(OR($A57="",Measures!$I57=""),"",Measures!$I57)</f>
        <v/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9" t="str">
        <f>IF($A57="","",IF(INDEX($L57:$W57,Setup!$B$7)="","",INDEX($L57:$W57,Setup!$B$7)))</f>
        <v/>
      </c>
      <c r="Y57" s="15" t="str">
        <f>IF(OR($A57="",Setup!$B$7&lt;2),"",IF(INDEX($L57:$W57,Setup!$B$7-1)="","",INDEX($L57:$W57,Setup!$B$7-1)))</f>
        <v/>
      </c>
      <c r="Z57" s="32" t="str">
        <f t="shared" si="3"/>
        <v/>
      </c>
      <c r="AA57" s="15" t="str">
        <f t="shared" si="4"/>
        <v/>
      </c>
      <c r="AB57" s="20"/>
      <c r="AC57" s="63" t="str">
        <f t="shared" si="5"/>
        <v/>
      </c>
      <c r="AD57" s="63" t="str">
        <f>IF(AC57="","",COUNTIF($AC$6:$AC$65,"&lt;"&amp;AC57)+COUNTIF($AC$6:AC57,AC57))</f>
        <v/>
      </c>
      <c r="AE57" s="63" t="str">
        <f>IF(OR($A57="",$D57&lt;&gt;'Department view'!$C$4),"",COUNTIF($D$6:$D57,'Department view'!$C$4))</f>
        <v/>
      </c>
    </row>
    <row r="58" spans="1:31" x14ac:dyDescent="0.45">
      <c r="A58" s="15" t="str">
        <f>IF(Measures!$A58="","",Measures!$A58)</f>
        <v/>
      </c>
      <c r="B58" s="15" t="str">
        <f>IF(OR($A58="",Measures!$B58=""),"",Measures!$B58)</f>
        <v/>
      </c>
      <c r="C58" s="15" t="str">
        <f>IF(OR($A58="",Measures!$C58=""),"",Measures!$C58)</f>
        <v/>
      </c>
      <c r="D58" s="15" t="str">
        <f>IF(OR($A58="",Measures!$F58=""),"",Measures!$F58)</f>
        <v/>
      </c>
      <c r="E58" s="15" t="str">
        <f>IF(OR($A58="",Measures!$E58=""),"",Measures!$E58)</f>
        <v/>
      </c>
      <c r="F58" s="15" t="str">
        <f>IF(OR($A58="",Measures!$G58=""),"",Measures!$G58)</f>
        <v/>
      </c>
      <c r="G58" s="15" t="str">
        <f>IF(OR($A58="",Measures!$O58=""),"",Measures!$O58)</f>
        <v/>
      </c>
      <c r="H58" s="15" t="str">
        <f>IF(OR($A58="",Measures!$J58=""),"",Measures!$J58)</f>
        <v/>
      </c>
      <c r="I58" s="15" t="str">
        <f>IF(OR($A58="",Measures!$K58=""),"",Measures!$K58)</f>
        <v/>
      </c>
      <c r="J58" s="15" t="str">
        <f>IF(OR($A58="",Measures!$L58=""),"",Measures!$L58)</f>
        <v/>
      </c>
      <c r="K58" s="15" t="str">
        <f>IF(OR($A58="",Measures!$I58=""),"",Measures!$I58)</f>
        <v/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9" t="str">
        <f>IF($A58="","",IF(INDEX($L58:$W58,Setup!$B$7)="","",INDEX($L58:$W58,Setup!$B$7)))</f>
        <v/>
      </c>
      <c r="Y58" s="15" t="str">
        <f>IF(OR($A58="",Setup!$B$7&lt;2),"",IF(INDEX($L58:$W58,Setup!$B$7-1)="","",INDEX($L58:$W58,Setup!$B$7-1)))</f>
        <v/>
      </c>
      <c r="Z58" s="32" t="str">
        <f t="shared" si="3"/>
        <v/>
      </c>
      <c r="AA58" s="15" t="str">
        <f t="shared" si="4"/>
        <v/>
      </c>
      <c r="AB58" s="20"/>
      <c r="AC58" s="63" t="str">
        <f t="shared" si="5"/>
        <v/>
      </c>
      <c r="AD58" s="63" t="str">
        <f>IF(AC58="","",COUNTIF($AC$6:$AC$65,"&lt;"&amp;AC58)+COUNTIF($AC$6:AC58,AC58))</f>
        <v/>
      </c>
      <c r="AE58" s="63" t="str">
        <f>IF(OR($A58="",$D58&lt;&gt;'Department view'!$C$4),"",COUNTIF($D$6:$D58,'Department view'!$C$4))</f>
        <v/>
      </c>
    </row>
    <row r="59" spans="1:31" x14ac:dyDescent="0.45">
      <c r="A59" s="15" t="str">
        <f>IF(Measures!$A59="","",Measures!$A59)</f>
        <v/>
      </c>
      <c r="B59" s="15" t="str">
        <f>IF(OR($A59="",Measures!$B59=""),"",Measures!$B59)</f>
        <v/>
      </c>
      <c r="C59" s="15" t="str">
        <f>IF(OR($A59="",Measures!$C59=""),"",Measures!$C59)</f>
        <v/>
      </c>
      <c r="D59" s="15" t="str">
        <f>IF(OR($A59="",Measures!$F59=""),"",Measures!$F59)</f>
        <v/>
      </c>
      <c r="E59" s="15" t="str">
        <f>IF(OR($A59="",Measures!$E59=""),"",Measures!$E59)</f>
        <v/>
      </c>
      <c r="F59" s="15" t="str">
        <f>IF(OR($A59="",Measures!$G59=""),"",Measures!$G59)</f>
        <v/>
      </c>
      <c r="G59" s="15" t="str">
        <f>IF(OR($A59="",Measures!$O59=""),"",Measures!$O59)</f>
        <v/>
      </c>
      <c r="H59" s="15" t="str">
        <f>IF(OR($A59="",Measures!$J59=""),"",Measures!$J59)</f>
        <v/>
      </c>
      <c r="I59" s="15" t="str">
        <f>IF(OR($A59="",Measures!$K59=""),"",Measures!$K59)</f>
        <v/>
      </c>
      <c r="J59" s="15" t="str">
        <f>IF(OR($A59="",Measures!$L59=""),"",Measures!$L59)</f>
        <v/>
      </c>
      <c r="K59" s="15" t="str">
        <f>IF(OR($A59="",Measures!$I59=""),"",Measures!$I59)</f>
        <v/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9" t="str">
        <f>IF($A59="","",IF(INDEX($L59:$W59,Setup!$B$7)="","",INDEX($L59:$W59,Setup!$B$7)))</f>
        <v/>
      </c>
      <c r="Y59" s="15" t="str">
        <f>IF(OR($A59="",Setup!$B$7&lt;2),"",IF(INDEX($L59:$W59,Setup!$B$7-1)="","",INDEX($L59:$W59,Setup!$B$7-1)))</f>
        <v/>
      </c>
      <c r="Z59" s="32" t="str">
        <f t="shared" si="3"/>
        <v/>
      </c>
      <c r="AA59" s="15" t="str">
        <f t="shared" si="4"/>
        <v/>
      </c>
      <c r="AB59" s="20"/>
      <c r="AC59" s="63" t="str">
        <f t="shared" si="5"/>
        <v/>
      </c>
      <c r="AD59" s="63" t="str">
        <f>IF(AC59="","",COUNTIF($AC$6:$AC$65,"&lt;"&amp;AC59)+COUNTIF($AC$6:AC59,AC59))</f>
        <v/>
      </c>
      <c r="AE59" s="63" t="str">
        <f>IF(OR($A59="",$D59&lt;&gt;'Department view'!$C$4),"",COUNTIF($D$6:$D59,'Department view'!$C$4))</f>
        <v/>
      </c>
    </row>
    <row r="60" spans="1:31" x14ac:dyDescent="0.45">
      <c r="A60" s="15" t="str">
        <f>IF(Measures!$A60="","",Measures!$A60)</f>
        <v/>
      </c>
      <c r="B60" s="15" t="str">
        <f>IF(OR($A60="",Measures!$B60=""),"",Measures!$B60)</f>
        <v/>
      </c>
      <c r="C60" s="15" t="str">
        <f>IF(OR($A60="",Measures!$C60=""),"",Measures!$C60)</f>
        <v/>
      </c>
      <c r="D60" s="15" t="str">
        <f>IF(OR($A60="",Measures!$F60=""),"",Measures!$F60)</f>
        <v/>
      </c>
      <c r="E60" s="15" t="str">
        <f>IF(OR($A60="",Measures!$E60=""),"",Measures!$E60)</f>
        <v/>
      </c>
      <c r="F60" s="15" t="str">
        <f>IF(OR($A60="",Measures!$G60=""),"",Measures!$G60)</f>
        <v/>
      </c>
      <c r="G60" s="15" t="str">
        <f>IF(OR($A60="",Measures!$O60=""),"",Measures!$O60)</f>
        <v/>
      </c>
      <c r="H60" s="15" t="str">
        <f>IF(OR($A60="",Measures!$J60=""),"",Measures!$J60)</f>
        <v/>
      </c>
      <c r="I60" s="15" t="str">
        <f>IF(OR($A60="",Measures!$K60=""),"",Measures!$K60)</f>
        <v/>
      </c>
      <c r="J60" s="15" t="str">
        <f>IF(OR($A60="",Measures!$L60=""),"",Measures!$L60)</f>
        <v/>
      </c>
      <c r="K60" s="15" t="str">
        <f>IF(OR($A60="",Measures!$I60=""),"",Measures!$I60)</f>
        <v/>
      </c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9" t="str">
        <f>IF($A60="","",IF(INDEX($L60:$W60,Setup!$B$7)="","",INDEX($L60:$W60,Setup!$B$7)))</f>
        <v/>
      </c>
      <c r="Y60" s="15" t="str">
        <f>IF(OR($A60="",Setup!$B$7&lt;2),"",IF(INDEX($L60:$W60,Setup!$B$7-1)="","",INDEX($L60:$W60,Setup!$B$7-1)))</f>
        <v/>
      </c>
      <c r="Z60" s="32" t="str">
        <f t="shared" si="3"/>
        <v/>
      </c>
      <c r="AA60" s="15" t="str">
        <f t="shared" si="4"/>
        <v/>
      </c>
      <c r="AB60" s="20"/>
      <c r="AC60" s="63" t="str">
        <f t="shared" si="5"/>
        <v/>
      </c>
      <c r="AD60" s="63" t="str">
        <f>IF(AC60="","",COUNTIF($AC$6:$AC$65,"&lt;"&amp;AC60)+COUNTIF($AC$6:AC60,AC60))</f>
        <v/>
      </c>
      <c r="AE60" s="63" t="str">
        <f>IF(OR($A60="",$D60&lt;&gt;'Department view'!$C$4),"",COUNTIF($D$6:$D60,'Department view'!$C$4))</f>
        <v/>
      </c>
    </row>
    <row r="61" spans="1:31" x14ac:dyDescent="0.45">
      <c r="A61" s="15" t="str">
        <f>IF(Measures!$A61="","",Measures!$A61)</f>
        <v/>
      </c>
      <c r="B61" s="15" t="str">
        <f>IF(OR($A61="",Measures!$B61=""),"",Measures!$B61)</f>
        <v/>
      </c>
      <c r="C61" s="15" t="str">
        <f>IF(OR($A61="",Measures!$C61=""),"",Measures!$C61)</f>
        <v/>
      </c>
      <c r="D61" s="15" t="str">
        <f>IF(OR($A61="",Measures!$F61=""),"",Measures!$F61)</f>
        <v/>
      </c>
      <c r="E61" s="15" t="str">
        <f>IF(OR($A61="",Measures!$E61=""),"",Measures!$E61)</f>
        <v/>
      </c>
      <c r="F61" s="15" t="str">
        <f>IF(OR($A61="",Measures!$G61=""),"",Measures!$G61)</f>
        <v/>
      </c>
      <c r="G61" s="15" t="str">
        <f>IF(OR($A61="",Measures!$O61=""),"",Measures!$O61)</f>
        <v/>
      </c>
      <c r="H61" s="15" t="str">
        <f>IF(OR($A61="",Measures!$J61=""),"",Measures!$J61)</f>
        <v/>
      </c>
      <c r="I61" s="15" t="str">
        <f>IF(OR($A61="",Measures!$K61=""),"",Measures!$K61)</f>
        <v/>
      </c>
      <c r="J61" s="15" t="str">
        <f>IF(OR($A61="",Measures!$L61=""),"",Measures!$L61)</f>
        <v/>
      </c>
      <c r="K61" s="15" t="str">
        <f>IF(OR($A61="",Measures!$I61=""),"",Measures!$I61)</f>
        <v/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9" t="str">
        <f>IF($A61="","",IF(INDEX($L61:$W61,Setup!$B$7)="","",INDEX($L61:$W61,Setup!$B$7)))</f>
        <v/>
      </c>
      <c r="Y61" s="15" t="str">
        <f>IF(OR($A61="",Setup!$B$7&lt;2),"",IF(INDEX($L61:$W61,Setup!$B$7-1)="","",INDEX($L61:$W61,Setup!$B$7-1)))</f>
        <v/>
      </c>
      <c r="Z61" s="32" t="str">
        <f t="shared" si="3"/>
        <v/>
      </c>
      <c r="AA61" s="15" t="str">
        <f t="shared" si="4"/>
        <v/>
      </c>
      <c r="AB61" s="20"/>
      <c r="AC61" s="63" t="str">
        <f t="shared" si="5"/>
        <v/>
      </c>
      <c r="AD61" s="63" t="str">
        <f>IF(AC61="","",COUNTIF($AC$6:$AC$65,"&lt;"&amp;AC61)+COUNTIF($AC$6:AC61,AC61))</f>
        <v/>
      </c>
      <c r="AE61" s="63" t="str">
        <f>IF(OR($A61="",$D61&lt;&gt;'Department view'!$C$4),"",COUNTIF($D$6:$D61,'Department view'!$C$4))</f>
        <v/>
      </c>
    </row>
    <row r="62" spans="1:31" x14ac:dyDescent="0.45">
      <c r="A62" s="15" t="str">
        <f>IF(Measures!$A62="","",Measures!$A62)</f>
        <v/>
      </c>
      <c r="B62" s="15" t="str">
        <f>IF(OR($A62="",Measures!$B62=""),"",Measures!$B62)</f>
        <v/>
      </c>
      <c r="C62" s="15" t="str">
        <f>IF(OR($A62="",Measures!$C62=""),"",Measures!$C62)</f>
        <v/>
      </c>
      <c r="D62" s="15" t="str">
        <f>IF(OR($A62="",Measures!$F62=""),"",Measures!$F62)</f>
        <v/>
      </c>
      <c r="E62" s="15" t="str">
        <f>IF(OR($A62="",Measures!$E62=""),"",Measures!$E62)</f>
        <v/>
      </c>
      <c r="F62" s="15" t="str">
        <f>IF(OR($A62="",Measures!$G62=""),"",Measures!$G62)</f>
        <v/>
      </c>
      <c r="G62" s="15" t="str">
        <f>IF(OR($A62="",Measures!$O62=""),"",Measures!$O62)</f>
        <v/>
      </c>
      <c r="H62" s="15" t="str">
        <f>IF(OR($A62="",Measures!$J62=""),"",Measures!$J62)</f>
        <v/>
      </c>
      <c r="I62" s="15" t="str">
        <f>IF(OR($A62="",Measures!$K62=""),"",Measures!$K62)</f>
        <v/>
      </c>
      <c r="J62" s="15" t="str">
        <f>IF(OR($A62="",Measures!$L62=""),"",Measures!$L62)</f>
        <v/>
      </c>
      <c r="K62" s="15" t="str">
        <f>IF(OR($A62="",Measures!$I62=""),"",Measures!$I62)</f>
        <v/>
      </c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9" t="str">
        <f>IF($A62="","",IF(INDEX($L62:$W62,Setup!$B$7)="","",INDEX($L62:$W62,Setup!$B$7)))</f>
        <v/>
      </c>
      <c r="Y62" s="15" t="str">
        <f>IF(OR($A62="",Setup!$B$7&lt;2),"",IF(INDEX($L62:$W62,Setup!$B$7-1)="","",INDEX($L62:$W62,Setup!$B$7-1)))</f>
        <v/>
      </c>
      <c r="Z62" s="32" t="str">
        <f t="shared" si="3"/>
        <v/>
      </c>
      <c r="AA62" s="15" t="str">
        <f t="shared" si="4"/>
        <v/>
      </c>
      <c r="AB62" s="20"/>
      <c r="AC62" s="63" t="str">
        <f t="shared" si="5"/>
        <v/>
      </c>
      <c r="AD62" s="63" t="str">
        <f>IF(AC62="","",COUNTIF($AC$6:$AC$65,"&lt;"&amp;AC62)+COUNTIF($AC$6:AC62,AC62))</f>
        <v/>
      </c>
      <c r="AE62" s="63" t="str">
        <f>IF(OR($A62="",$D62&lt;&gt;'Department view'!$C$4),"",COUNTIF($D$6:$D62,'Department view'!$C$4))</f>
        <v/>
      </c>
    </row>
    <row r="63" spans="1:31" x14ac:dyDescent="0.45">
      <c r="A63" s="15" t="str">
        <f>IF(Measures!$A63="","",Measures!$A63)</f>
        <v/>
      </c>
      <c r="B63" s="15" t="str">
        <f>IF(OR($A63="",Measures!$B63=""),"",Measures!$B63)</f>
        <v/>
      </c>
      <c r="C63" s="15" t="str">
        <f>IF(OR($A63="",Measures!$C63=""),"",Measures!$C63)</f>
        <v/>
      </c>
      <c r="D63" s="15" t="str">
        <f>IF(OR($A63="",Measures!$F63=""),"",Measures!$F63)</f>
        <v/>
      </c>
      <c r="E63" s="15" t="str">
        <f>IF(OR($A63="",Measures!$E63=""),"",Measures!$E63)</f>
        <v/>
      </c>
      <c r="F63" s="15" t="str">
        <f>IF(OR($A63="",Measures!$G63=""),"",Measures!$G63)</f>
        <v/>
      </c>
      <c r="G63" s="15" t="str">
        <f>IF(OR($A63="",Measures!$O63=""),"",Measures!$O63)</f>
        <v/>
      </c>
      <c r="H63" s="15" t="str">
        <f>IF(OR($A63="",Measures!$J63=""),"",Measures!$J63)</f>
        <v/>
      </c>
      <c r="I63" s="15" t="str">
        <f>IF(OR($A63="",Measures!$K63=""),"",Measures!$K63)</f>
        <v/>
      </c>
      <c r="J63" s="15" t="str">
        <f>IF(OR($A63="",Measures!$L63=""),"",Measures!$L63)</f>
        <v/>
      </c>
      <c r="K63" s="15" t="str">
        <f>IF(OR($A63="",Measures!$I63=""),"",Measures!$I63)</f>
        <v/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9" t="str">
        <f>IF($A63="","",IF(INDEX($L63:$W63,Setup!$B$7)="","",INDEX($L63:$W63,Setup!$B$7)))</f>
        <v/>
      </c>
      <c r="Y63" s="15" t="str">
        <f>IF(OR($A63="",Setup!$B$7&lt;2),"",IF(INDEX($L63:$W63,Setup!$B$7-1)="","",INDEX($L63:$W63,Setup!$B$7-1)))</f>
        <v/>
      </c>
      <c r="Z63" s="32" t="str">
        <f t="shared" si="3"/>
        <v/>
      </c>
      <c r="AA63" s="15" t="str">
        <f t="shared" si="4"/>
        <v/>
      </c>
      <c r="AB63" s="20"/>
      <c r="AC63" s="63" t="str">
        <f t="shared" si="5"/>
        <v/>
      </c>
      <c r="AD63" s="63" t="str">
        <f>IF(AC63="","",COUNTIF($AC$6:$AC$65,"&lt;"&amp;AC63)+COUNTIF($AC$6:AC63,AC63))</f>
        <v/>
      </c>
      <c r="AE63" s="63" t="str">
        <f>IF(OR($A63="",$D63&lt;&gt;'Department view'!$C$4),"",COUNTIF($D$6:$D63,'Department view'!$C$4))</f>
        <v/>
      </c>
    </row>
    <row r="64" spans="1:31" x14ac:dyDescent="0.45">
      <c r="A64" s="15" t="str">
        <f>IF(Measures!$A64="","",Measures!$A64)</f>
        <v/>
      </c>
      <c r="B64" s="15" t="str">
        <f>IF(OR($A64="",Measures!$B64=""),"",Measures!$B64)</f>
        <v/>
      </c>
      <c r="C64" s="15" t="str">
        <f>IF(OR($A64="",Measures!$C64=""),"",Measures!$C64)</f>
        <v/>
      </c>
      <c r="D64" s="15" t="str">
        <f>IF(OR($A64="",Measures!$F64=""),"",Measures!$F64)</f>
        <v/>
      </c>
      <c r="E64" s="15" t="str">
        <f>IF(OR($A64="",Measures!$E64=""),"",Measures!$E64)</f>
        <v/>
      </c>
      <c r="F64" s="15" t="str">
        <f>IF(OR($A64="",Measures!$G64=""),"",Measures!$G64)</f>
        <v/>
      </c>
      <c r="G64" s="15" t="str">
        <f>IF(OR($A64="",Measures!$O64=""),"",Measures!$O64)</f>
        <v/>
      </c>
      <c r="H64" s="15" t="str">
        <f>IF(OR($A64="",Measures!$J64=""),"",Measures!$J64)</f>
        <v/>
      </c>
      <c r="I64" s="15" t="str">
        <f>IF(OR($A64="",Measures!$K64=""),"",Measures!$K64)</f>
        <v/>
      </c>
      <c r="J64" s="15" t="str">
        <f>IF(OR($A64="",Measures!$L64=""),"",Measures!$L64)</f>
        <v/>
      </c>
      <c r="K64" s="15" t="str">
        <f>IF(OR($A64="",Measures!$I64=""),"",Measures!$I64)</f>
        <v/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9" t="str">
        <f>IF($A64="","",IF(INDEX($L64:$W64,Setup!$B$7)="","",INDEX($L64:$W64,Setup!$B$7)))</f>
        <v/>
      </c>
      <c r="Y64" s="15" t="str">
        <f>IF(OR($A64="",Setup!$B$7&lt;2),"",IF(INDEX($L64:$W64,Setup!$B$7-1)="","",INDEX($L64:$W64,Setup!$B$7-1)))</f>
        <v/>
      </c>
      <c r="Z64" s="32" t="str">
        <f t="shared" si="3"/>
        <v/>
      </c>
      <c r="AA64" s="15" t="str">
        <f t="shared" si="4"/>
        <v/>
      </c>
      <c r="AB64" s="20"/>
      <c r="AC64" s="63" t="str">
        <f t="shared" si="5"/>
        <v/>
      </c>
      <c r="AD64" s="63" t="str">
        <f>IF(AC64="","",COUNTIF($AC$6:$AC$65,"&lt;"&amp;AC64)+COUNTIF($AC$6:AC64,AC64))</f>
        <v/>
      </c>
      <c r="AE64" s="63" t="str">
        <f>IF(OR($A64="",$D64&lt;&gt;'Department view'!$C$4),"",COUNTIF($D$6:$D64,'Department view'!$C$4))</f>
        <v/>
      </c>
    </row>
    <row r="65" spans="1:31" x14ac:dyDescent="0.45">
      <c r="A65" s="15" t="str">
        <f>IF(Measures!$A65="","",Measures!$A65)</f>
        <v/>
      </c>
      <c r="B65" s="15" t="str">
        <f>IF(OR($A65="",Measures!$B65=""),"",Measures!$B65)</f>
        <v/>
      </c>
      <c r="C65" s="15" t="str">
        <f>IF(OR($A65="",Measures!$C65=""),"",Measures!$C65)</f>
        <v/>
      </c>
      <c r="D65" s="15" t="str">
        <f>IF(OR($A65="",Measures!$F65=""),"",Measures!$F65)</f>
        <v/>
      </c>
      <c r="E65" s="15" t="str">
        <f>IF(OR($A65="",Measures!$E65=""),"",Measures!$E65)</f>
        <v/>
      </c>
      <c r="F65" s="15" t="str">
        <f>IF(OR($A65="",Measures!$G65=""),"",Measures!$G65)</f>
        <v/>
      </c>
      <c r="G65" s="15" t="str">
        <f>IF(OR($A65="",Measures!$O65=""),"",Measures!$O65)</f>
        <v/>
      </c>
      <c r="H65" s="15" t="str">
        <f>IF(OR($A65="",Measures!$J65=""),"",Measures!$J65)</f>
        <v/>
      </c>
      <c r="I65" s="15" t="str">
        <f>IF(OR($A65="",Measures!$K65=""),"",Measures!$K65)</f>
        <v/>
      </c>
      <c r="J65" s="15" t="str">
        <f>IF(OR($A65="",Measures!$L65=""),"",Measures!$L65)</f>
        <v/>
      </c>
      <c r="K65" s="15" t="str">
        <f>IF(OR($A65="",Measures!$I65=""),"",Measures!$I65)</f>
        <v/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9" t="str">
        <f>IF($A65="","",IF(INDEX($L65:$W65,Setup!$B$7)="","",INDEX($L65:$W65,Setup!$B$7)))</f>
        <v/>
      </c>
      <c r="Y65" s="15" t="str">
        <f>IF(OR($A65="",Setup!$B$7&lt;2),"",IF(INDEX($L65:$W65,Setup!$B$7-1)="","",INDEX($L65:$W65,Setup!$B$7-1)))</f>
        <v/>
      </c>
      <c r="Z65" s="32" t="str">
        <f t="shared" si="3"/>
        <v/>
      </c>
      <c r="AA65" s="15" t="str">
        <f t="shared" si="4"/>
        <v/>
      </c>
      <c r="AB65" s="20"/>
      <c r="AC65" s="63" t="str">
        <f t="shared" si="5"/>
        <v/>
      </c>
      <c r="AD65" s="63" t="str">
        <f>IF(AC65="","",COUNTIF($AC$6:$AC$65,"&lt;"&amp;AC65)+COUNTIF($AC$6:AC65,AC65))</f>
        <v/>
      </c>
      <c r="AE65" s="63" t="str">
        <f>IF(OR($A65="",$D65&lt;&gt;'Department view'!$C$4),"",COUNTIF($D$6:$D65,'Department view'!$C$4))</f>
        <v/>
      </c>
    </row>
  </sheetData>
  <conditionalFormatting sqref="I6:J65">
    <cfRule type="expression" dxfId="27" priority="2">
      <formula>$K6="%"</formula>
    </cfRule>
    <cfRule type="expression" dxfId="26" priority="3">
      <formula>$K6="Months"</formula>
    </cfRule>
    <cfRule type="expression" dxfId="25" priority="4">
      <formula>$K6="Amount"</formula>
    </cfRule>
  </conditionalFormatting>
  <conditionalFormatting sqref="L6:Y65">
    <cfRule type="expression" dxfId="22" priority="5">
      <formula>$K6="%"</formula>
    </cfRule>
    <cfRule type="expression" dxfId="21" priority="6">
      <formula>$K6="Months"</formula>
    </cfRule>
    <cfRule type="expression" dxfId="20" priority="7">
      <formula>$K6="Amount"</formula>
    </cfRule>
  </conditionalFormatting>
  <conditionalFormatting sqref="Z6:Z65">
    <cfRule type="cellIs" dxfId="19" priority="8" operator="equal">
      <formula>"Green"</formula>
    </cfRule>
    <cfRule type="cellIs" dxfId="18" priority="9" operator="equal">
      <formula>"Amber"</formula>
    </cfRule>
    <cfRule type="cellIs" dxfId="17" priority="10" operator="equal">
      <formula>"Red"</formula>
    </cfRule>
    <cfRule type="cellIs" dxfId="16" priority="11" operator="equal">
      <formula>"No data"</formula>
    </cfRule>
  </conditionalFormatting>
  <conditionalFormatting sqref="AA6:AA65">
    <cfRule type="cellIs" dxfId="15" priority="12" operator="equal">
      <formula>"Worsening"</formula>
    </cfRule>
    <cfRule type="cellIs" dxfId="14" priority="13" operator="equal">
      <formula>"Improving"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00000000-000E-0000-0700-00000F000000}">
            <xm:f>COLUMN(L5)-COLUMN($L5)+1=Setup!$B$7</xm:f>
            <x14:dxf>
              <fill>
                <patternFill>
                  <bgColor rgb="FFE2A93B"/>
                </patternFill>
              </fill>
            </x14:dxf>
          </x14:cfRule>
          <xm:sqref>L5:W5</xm:sqref>
        </x14:conditionalFormatting>
        <x14:conditionalFormatting xmlns:xm="http://schemas.microsoft.com/office/excel/2006/main">
          <x14:cfRule type="expression" priority="14" id="{00000000-000E-0000-0700-00000E000000}">
            <xm:f>AND($A6&lt;&gt;"",COLUMN(L6)-COLUMN($L6)+1=Setup!$B$7)</xm:f>
            <x14:dxf>
              <border diagonalUp="0" diagonalDown="0">
                <left style="medium">
                  <color rgb="FF1F3B2F"/>
                </left>
                <right style="medium">
                  <color rgb="FF1F3B2F"/>
                </right>
                <top/>
                <bottom/>
              </border>
            </x14:dxf>
          </x14:cfRule>
          <xm:sqref>L6:W65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3B2F"/>
  </sheetPr>
  <dimension ref="A1:L105"/>
  <sheetViews>
    <sheetView showGridLines="0" zoomScaleNormal="10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L5" sqref="L5"/>
    </sheetView>
  </sheetViews>
  <sheetFormatPr defaultColWidth="8.6640625" defaultRowHeight="14.25" x14ac:dyDescent="0.45"/>
  <cols>
    <col min="1" max="1" width="6" customWidth="1"/>
    <col min="2" max="2" width="10" customWidth="1"/>
    <col min="3" max="3" width="28" customWidth="1"/>
    <col min="4" max="4" width="20" customWidth="1"/>
    <col min="5" max="5" width="44" customWidth="1"/>
    <col min="6" max="6" width="22" customWidth="1"/>
    <col min="7" max="8" width="12" customWidth="1"/>
    <col min="9" max="9" width="9" customWidth="1"/>
    <col min="10" max="10" width="12" customWidth="1"/>
    <col min="11" max="11" width="10" customWidth="1"/>
    <col min="12" max="12" width="12.86328125" customWidth="1"/>
  </cols>
  <sheetData>
    <row r="1" spans="1:12" ht="20.65" x14ac:dyDescent="0.6">
      <c r="A1" s="11" t="s">
        <v>321</v>
      </c>
    </row>
    <row r="2" spans="1:12" x14ac:dyDescent="0.45">
      <c r="A2" s="12" t="s">
        <v>322</v>
      </c>
    </row>
    <row r="5" spans="1:12" ht="30" customHeight="1" x14ac:dyDescent="0.45">
      <c r="A5" s="33" t="s">
        <v>323</v>
      </c>
      <c r="B5" s="33" t="s">
        <v>324</v>
      </c>
      <c r="C5" s="33" t="s">
        <v>82</v>
      </c>
      <c r="D5" s="33" t="s">
        <v>59</v>
      </c>
      <c r="E5" s="33" t="s">
        <v>325</v>
      </c>
      <c r="F5" s="33" t="s">
        <v>87</v>
      </c>
      <c r="G5" s="33" t="s">
        <v>326</v>
      </c>
      <c r="H5" s="33" t="s">
        <v>327</v>
      </c>
      <c r="I5" s="33" t="s">
        <v>86</v>
      </c>
      <c r="J5" s="33" t="s">
        <v>328</v>
      </c>
      <c r="K5" s="33" t="s">
        <v>329</v>
      </c>
      <c r="L5" s="33" t="s">
        <v>330</v>
      </c>
    </row>
    <row r="6" spans="1:12" x14ac:dyDescent="0.45">
      <c r="A6" s="20">
        <v>1</v>
      </c>
      <c r="B6" s="20" t="s">
        <v>259</v>
      </c>
      <c r="C6" s="15" t="str">
        <f>IF(B6="","",IFERROR(INDEX(Measures!$C$6:$C$65,MATCH(B6,Measures!$A$6:$A$65,0)),"Not found"))</f>
        <v>Receivables over 90 days</v>
      </c>
      <c r="D6" s="15" t="str">
        <f>IF(B6="","",IFERROR(INDEX(Measures!$F$6:$F$65,MATCH(B6,Measures!$A$6:$A$65,0)),""))</f>
        <v>Finance</v>
      </c>
      <c r="E6" s="20" t="s">
        <v>331</v>
      </c>
      <c r="F6" s="20" t="s">
        <v>263</v>
      </c>
      <c r="G6" s="70">
        <v>46239</v>
      </c>
      <c r="H6" s="70">
        <v>46280</v>
      </c>
      <c r="I6" s="20" t="s">
        <v>332</v>
      </c>
      <c r="J6" s="70">
        <v>46269</v>
      </c>
      <c r="K6" s="50" t="str">
        <f>IF(OR(B6="",I6&lt;&gt;"Open",H6=""),"",MAX(0,Setup!$B$8-H6))</f>
        <v/>
      </c>
      <c r="L6" s="29" t="str">
        <f t="shared" ref="L6:L37" si="0">IF(B6="","",IF(I6="Done","Closed",IF(K6="","",IF(K6&gt;0,"Overdue","On time"))))</f>
        <v>Closed</v>
      </c>
    </row>
    <row r="7" spans="1:12" x14ac:dyDescent="0.45">
      <c r="A7" s="20">
        <v>2</v>
      </c>
      <c r="B7" s="20" t="s">
        <v>259</v>
      </c>
      <c r="C7" s="15" t="str">
        <f>IF(B7="","",IFERROR(INDEX(Measures!$C$6:$C$65,MATCH(B7,Measures!$A$6:$A$65,0)),"Not found"))</f>
        <v>Receivables over 90 days</v>
      </c>
      <c r="D7" s="15" t="str">
        <f>IF(B7="","",IFERROR(INDEX(Measures!$F$6:$F$65,MATCH(B7,Measures!$A$6:$A$65,0)),""))</f>
        <v>Finance</v>
      </c>
      <c r="E7" s="20" t="s">
        <v>333</v>
      </c>
      <c r="F7" s="20" t="s">
        <v>115</v>
      </c>
      <c r="G7" s="70">
        <v>46270</v>
      </c>
      <c r="H7" s="70">
        <v>46387</v>
      </c>
      <c r="I7" s="20" t="s">
        <v>334</v>
      </c>
      <c r="J7" s="70"/>
      <c r="K7" s="50">
        <f>IF(OR(B7="",I7&lt;&gt;"Open",H7=""),"",MAX(0,Setup!$B$8-H7))</f>
        <v>0</v>
      </c>
      <c r="L7" s="29" t="str">
        <f t="shared" si="0"/>
        <v>On time</v>
      </c>
    </row>
    <row r="8" spans="1:12" ht="25.5" x14ac:dyDescent="0.45">
      <c r="A8" s="20">
        <v>3</v>
      </c>
      <c r="B8" s="20" t="s">
        <v>299</v>
      </c>
      <c r="C8" s="15" t="str">
        <f>IF(B8="","",IFERROR(INDEX(Measures!$C$6:$C$65,MATCH(B8,Measures!$A$6:$A$65,0)),"Not found"))</f>
        <v>Audit actions past due date</v>
      </c>
      <c r="D8" s="15" t="str">
        <f>IF(B8="","",IFERROR(INDEX(Measures!$F$6:$F$65,MATCH(B8,Measures!$A$6:$A$65,0)),""))</f>
        <v>Risk and compliance</v>
      </c>
      <c r="E8" s="20" t="s">
        <v>335</v>
      </c>
      <c r="F8" s="20" t="s">
        <v>121</v>
      </c>
      <c r="G8" s="70">
        <v>46213</v>
      </c>
      <c r="H8" s="70">
        <v>46265</v>
      </c>
      <c r="I8" s="20" t="s">
        <v>334</v>
      </c>
      <c r="J8" s="70"/>
      <c r="K8" s="50">
        <f>IF(OR(B8="",I8&lt;&gt;"Open",H8=""),"",MAX(0,Setup!$B$8-H8))</f>
        <v>30</v>
      </c>
      <c r="L8" s="29" t="str">
        <f t="shared" si="0"/>
        <v>Overdue</v>
      </c>
    </row>
    <row r="9" spans="1:12" x14ac:dyDescent="0.45">
      <c r="A9" s="20">
        <v>4</v>
      </c>
      <c r="B9" s="20" t="s">
        <v>248</v>
      </c>
      <c r="C9" s="15" t="str">
        <f>IF(B9="","",IFERROR(INDEX(Measures!$C$6:$C$65,MATCH(B9,Measures!$A$6:$A$65,0)),"Not found"))</f>
        <v>Stock write-offs as % of sales</v>
      </c>
      <c r="D9" s="15" t="str">
        <f>IF(B9="","",IFERROR(INDEX(Measures!$F$6:$F$65,MATCH(B9,Measures!$A$6:$A$65,0)),""))</f>
        <v>Supply chain</v>
      </c>
      <c r="E9" s="20" t="s">
        <v>336</v>
      </c>
      <c r="F9" s="20" t="s">
        <v>114</v>
      </c>
      <c r="G9" s="70">
        <v>46254</v>
      </c>
      <c r="H9" s="70">
        <v>46326</v>
      </c>
      <c r="I9" s="20" t="s">
        <v>334</v>
      </c>
      <c r="J9" s="70"/>
      <c r="K9" s="50">
        <f>IF(OR(B9="",I9&lt;&gt;"Open",H9=""),"",MAX(0,Setup!$B$8-H9))</f>
        <v>0</v>
      </c>
      <c r="L9" s="29" t="str">
        <f t="shared" si="0"/>
        <v>On time</v>
      </c>
    </row>
    <row r="10" spans="1:12" ht="25.5" x14ac:dyDescent="0.45">
      <c r="A10" s="20">
        <v>5</v>
      </c>
      <c r="B10" s="20" t="s">
        <v>304</v>
      </c>
      <c r="C10" s="15" t="str">
        <f>IF(B10="","",IFERROR(INDEX(Measures!$C$6:$C$65,MATCH(B10,Measures!$A$6:$A$65,0)),"Not found"))</f>
        <v>Customer complaints to the regulator</v>
      </c>
      <c r="D10" s="15" t="str">
        <f>IF(B10="","",IFERROR(INDEX(Measures!$F$6:$F$65,MATCH(B10,Measures!$A$6:$A$65,0)),""))</f>
        <v>Risk and compliance</v>
      </c>
      <c r="E10" s="20" t="s">
        <v>337</v>
      </c>
      <c r="F10" s="20" t="s">
        <v>168</v>
      </c>
      <c r="G10" s="70">
        <v>46249</v>
      </c>
      <c r="H10" s="70">
        <v>46285</v>
      </c>
      <c r="I10" s="20" t="s">
        <v>334</v>
      </c>
      <c r="J10" s="70"/>
      <c r="K10" s="50">
        <f>IF(OR(B10="",I10&lt;&gt;"Open",H10=""),"",MAX(0,Setup!$B$8-H10))</f>
        <v>10</v>
      </c>
      <c r="L10" s="29" t="str">
        <f t="shared" si="0"/>
        <v>Overdue</v>
      </c>
    </row>
    <row r="11" spans="1:12" x14ac:dyDescent="0.45">
      <c r="A11" s="20">
        <v>6</v>
      </c>
      <c r="B11" s="20" t="s">
        <v>220</v>
      </c>
      <c r="C11" s="15" t="str">
        <f>IF(B11="","",IFERROR(INDEX(Measures!$C$6:$C$65,MATCH(B11,Measures!$A$6:$A$65,0)),"Not found"))</f>
        <v>Repeat customer rate</v>
      </c>
      <c r="D11" s="15" t="str">
        <f>IF(B11="","",IFERROR(INDEX(Measures!$F$6:$F$65,MATCH(B11,Measures!$A$6:$A$65,0)),""))</f>
        <v>Marketing and service</v>
      </c>
      <c r="E11" s="20" t="s">
        <v>338</v>
      </c>
      <c r="F11" s="20" t="s">
        <v>112</v>
      </c>
      <c r="G11" s="70">
        <v>46183</v>
      </c>
      <c r="H11" s="70">
        <v>46218</v>
      </c>
      <c r="I11" s="20" t="s">
        <v>332</v>
      </c>
      <c r="J11" s="70">
        <v>46215</v>
      </c>
      <c r="K11" s="50" t="str">
        <f>IF(OR(B11="",I11&lt;&gt;"Open",H11=""),"",MAX(0,Setup!$B$8-H11))</f>
        <v/>
      </c>
      <c r="L11" s="29" t="str">
        <f t="shared" si="0"/>
        <v>Closed</v>
      </c>
    </row>
    <row r="12" spans="1:12" x14ac:dyDescent="0.45">
      <c r="A12" s="20">
        <v>7</v>
      </c>
      <c r="B12" s="20" t="s">
        <v>272</v>
      </c>
      <c r="C12" s="15" t="str">
        <f>IF(B12="","",IFERROR(INDEX(Measures!$C$6:$C$65,MATCH(B12,Measures!$A$6:$A$65,0)),"Not found"))</f>
        <v>Staff turnover (rolling 12 months)</v>
      </c>
      <c r="D12" s="15" t="str">
        <f>IF(B12="","",IFERROR(INDEX(Measures!$F$6:$F$65,MATCH(B12,Measures!$A$6:$A$65,0)),""))</f>
        <v>People (HR)</v>
      </c>
      <c r="E12" s="20" t="s">
        <v>339</v>
      </c>
      <c r="F12" s="20" t="s">
        <v>117</v>
      </c>
      <c r="G12" s="70">
        <v>46235</v>
      </c>
      <c r="H12" s="70">
        <v>46327</v>
      </c>
      <c r="I12" s="20" t="s">
        <v>334</v>
      </c>
      <c r="J12" s="70"/>
      <c r="K12" s="50">
        <f>IF(OR(B12="",I12&lt;&gt;"Open",H12=""),"",MAX(0,Setup!$B$8-H12))</f>
        <v>0</v>
      </c>
      <c r="L12" s="29" t="str">
        <f t="shared" si="0"/>
        <v>On time</v>
      </c>
    </row>
    <row r="13" spans="1:12" x14ac:dyDescent="0.45">
      <c r="A13" s="20">
        <v>8</v>
      </c>
      <c r="B13" s="20" t="s">
        <v>205</v>
      </c>
      <c r="C13" s="15" t="str">
        <f>IF(B13="","",IFERROR(INDEX(Measures!$C$6:$C$65,MATCH(B13,Measures!$A$6:$A$65,0)),"Not found"))</f>
        <v>Online refund rate</v>
      </c>
      <c r="D13" s="15" t="str">
        <f>IF(B13="","",IFERROR(INDEX(Measures!$F$6:$F$65,MATCH(B13,Measures!$A$6:$A$65,0)),""))</f>
        <v>Sales and e-commerce</v>
      </c>
      <c r="E13" s="20" t="s">
        <v>340</v>
      </c>
      <c r="F13" s="20" t="s">
        <v>160</v>
      </c>
      <c r="G13" s="70">
        <v>46266</v>
      </c>
      <c r="H13" s="70">
        <v>46290</v>
      </c>
      <c r="I13" s="20" t="s">
        <v>334</v>
      </c>
      <c r="J13" s="70"/>
      <c r="K13" s="50">
        <f>IF(OR(B13="",I13&lt;&gt;"Open",H13=""),"",MAX(0,Setup!$B$8-H13))</f>
        <v>5</v>
      </c>
      <c r="L13" s="29" t="str">
        <f t="shared" si="0"/>
        <v>Overdue</v>
      </c>
    </row>
    <row r="14" spans="1:12" x14ac:dyDescent="0.45">
      <c r="A14" s="20"/>
      <c r="B14" s="20"/>
      <c r="C14" s="15" t="str">
        <f>IF(B14="","",IFERROR(INDEX(Measures!$C$6:$C$65,MATCH(B14,Measures!$A$6:$A$65,0)),"Not found"))</f>
        <v/>
      </c>
      <c r="D14" s="15" t="str">
        <f>IF(B14="","",IFERROR(INDEX(Measures!$F$6:$F$65,MATCH(B14,Measures!$A$6:$A$65,0)),""))</f>
        <v/>
      </c>
      <c r="E14" s="20"/>
      <c r="F14" s="20"/>
      <c r="G14" s="70"/>
      <c r="H14" s="70"/>
      <c r="I14" s="20"/>
      <c r="J14" s="70"/>
      <c r="K14" s="50" t="str">
        <f>IF(OR(B14="",I14&lt;&gt;"Open",H14=""),"",MAX(0,Setup!$B$8-H14))</f>
        <v/>
      </c>
      <c r="L14" s="29" t="str">
        <f t="shared" si="0"/>
        <v/>
      </c>
    </row>
    <row r="15" spans="1:12" x14ac:dyDescent="0.45">
      <c r="A15" s="20"/>
      <c r="B15" s="20"/>
      <c r="C15" s="15" t="str">
        <f>IF(B15="","",IFERROR(INDEX(Measures!$C$6:$C$65,MATCH(B15,Measures!$A$6:$A$65,0)),"Not found"))</f>
        <v/>
      </c>
      <c r="D15" s="15" t="str">
        <f>IF(B15="","",IFERROR(INDEX(Measures!$F$6:$F$65,MATCH(B15,Measures!$A$6:$A$65,0)),""))</f>
        <v/>
      </c>
      <c r="E15" s="20"/>
      <c r="F15" s="20"/>
      <c r="G15" s="70"/>
      <c r="H15" s="70"/>
      <c r="I15" s="20"/>
      <c r="J15" s="70"/>
      <c r="K15" s="50" t="str">
        <f>IF(OR(B15="",I15&lt;&gt;"Open",H15=""),"",MAX(0,Setup!$B$8-H15))</f>
        <v/>
      </c>
      <c r="L15" s="29" t="str">
        <f t="shared" si="0"/>
        <v/>
      </c>
    </row>
    <row r="16" spans="1:12" x14ac:dyDescent="0.45">
      <c r="A16" s="20"/>
      <c r="B16" s="20"/>
      <c r="C16" s="15" t="str">
        <f>IF(B16="","",IFERROR(INDEX(Measures!$C$6:$C$65,MATCH(B16,Measures!$A$6:$A$65,0)),"Not found"))</f>
        <v/>
      </c>
      <c r="D16" s="15" t="str">
        <f>IF(B16="","",IFERROR(INDEX(Measures!$F$6:$F$65,MATCH(B16,Measures!$A$6:$A$65,0)),""))</f>
        <v/>
      </c>
      <c r="E16" s="20"/>
      <c r="F16" s="20"/>
      <c r="G16" s="70"/>
      <c r="H16" s="70"/>
      <c r="I16" s="20"/>
      <c r="J16" s="70"/>
      <c r="K16" s="50" t="str">
        <f>IF(OR(B16="",I16&lt;&gt;"Open",H16=""),"",MAX(0,Setup!$B$8-H16))</f>
        <v/>
      </c>
      <c r="L16" s="29" t="str">
        <f t="shared" si="0"/>
        <v/>
      </c>
    </row>
    <row r="17" spans="1:12" x14ac:dyDescent="0.45">
      <c r="A17" s="20"/>
      <c r="B17" s="20"/>
      <c r="C17" s="15" t="str">
        <f>IF(B17="","",IFERROR(INDEX(Measures!$C$6:$C$65,MATCH(B17,Measures!$A$6:$A$65,0)),"Not found"))</f>
        <v/>
      </c>
      <c r="D17" s="15" t="str">
        <f>IF(B17="","",IFERROR(INDEX(Measures!$F$6:$F$65,MATCH(B17,Measures!$A$6:$A$65,0)),""))</f>
        <v/>
      </c>
      <c r="E17" s="20"/>
      <c r="F17" s="20"/>
      <c r="G17" s="70"/>
      <c r="H17" s="70"/>
      <c r="I17" s="20"/>
      <c r="J17" s="70"/>
      <c r="K17" s="50" t="str">
        <f>IF(OR(B17="",I17&lt;&gt;"Open",H17=""),"",MAX(0,Setup!$B$8-H17))</f>
        <v/>
      </c>
      <c r="L17" s="29" t="str">
        <f t="shared" si="0"/>
        <v/>
      </c>
    </row>
    <row r="18" spans="1:12" x14ac:dyDescent="0.45">
      <c r="A18" s="20"/>
      <c r="B18" s="20"/>
      <c r="C18" s="15" t="str">
        <f>IF(B18="","",IFERROR(INDEX(Measures!$C$6:$C$65,MATCH(B18,Measures!$A$6:$A$65,0)),"Not found"))</f>
        <v/>
      </c>
      <c r="D18" s="15" t="str">
        <f>IF(B18="","",IFERROR(INDEX(Measures!$F$6:$F$65,MATCH(B18,Measures!$A$6:$A$65,0)),""))</f>
        <v/>
      </c>
      <c r="E18" s="20"/>
      <c r="F18" s="20"/>
      <c r="G18" s="70"/>
      <c r="H18" s="70"/>
      <c r="I18" s="20"/>
      <c r="J18" s="70"/>
      <c r="K18" s="50" t="str">
        <f>IF(OR(B18="",I18&lt;&gt;"Open",H18=""),"",MAX(0,Setup!$B$8-H18))</f>
        <v/>
      </c>
      <c r="L18" s="29" t="str">
        <f t="shared" si="0"/>
        <v/>
      </c>
    </row>
    <row r="19" spans="1:12" x14ac:dyDescent="0.45">
      <c r="A19" s="20"/>
      <c r="B19" s="20"/>
      <c r="C19" s="15" t="str">
        <f>IF(B19="","",IFERROR(INDEX(Measures!$C$6:$C$65,MATCH(B19,Measures!$A$6:$A$65,0)),"Not found"))</f>
        <v/>
      </c>
      <c r="D19" s="15" t="str">
        <f>IF(B19="","",IFERROR(INDEX(Measures!$F$6:$F$65,MATCH(B19,Measures!$A$6:$A$65,0)),""))</f>
        <v/>
      </c>
      <c r="E19" s="20"/>
      <c r="F19" s="20"/>
      <c r="G19" s="70"/>
      <c r="H19" s="70"/>
      <c r="I19" s="20"/>
      <c r="J19" s="70"/>
      <c r="K19" s="50" t="str">
        <f>IF(OR(B19="",I19&lt;&gt;"Open",H19=""),"",MAX(0,Setup!$B$8-H19))</f>
        <v/>
      </c>
      <c r="L19" s="29" t="str">
        <f t="shared" si="0"/>
        <v/>
      </c>
    </row>
    <row r="20" spans="1:12" x14ac:dyDescent="0.45">
      <c r="A20" s="20"/>
      <c r="B20" s="20"/>
      <c r="C20" s="15" t="str">
        <f>IF(B20="","",IFERROR(INDEX(Measures!$C$6:$C$65,MATCH(B20,Measures!$A$6:$A$65,0)),"Not found"))</f>
        <v/>
      </c>
      <c r="D20" s="15" t="str">
        <f>IF(B20="","",IFERROR(INDEX(Measures!$F$6:$F$65,MATCH(B20,Measures!$A$6:$A$65,0)),""))</f>
        <v/>
      </c>
      <c r="E20" s="20"/>
      <c r="F20" s="20"/>
      <c r="G20" s="70"/>
      <c r="H20" s="70"/>
      <c r="I20" s="20"/>
      <c r="J20" s="70"/>
      <c r="K20" s="50" t="str">
        <f>IF(OR(B20="",I20&lt;&gt;"Open",H20=""),"",MAX(0,Setup!$B$8-H20))</f>
        <v/>
      </c>
      <c r="L20" s="29" t="str">
        <f t="shared" si="0"/>
        <v/>
      </c>
    </row>
    <row r="21" spans="1:12" x14ac:dyDescent="0.45">
      <c r="A21" s="20"/>
      <c r="B21" s="20"/>
      <c r="C21" s="15" t="str">
        <f>IF(B21="","",IFERROR(INDEX(Measures!$C$6:$C$65,MATCH(B21,Measures!$A$6:$A$65,0)),"Not found"))</f>
        <v/>
      </c>
      <c r="D21" s="15" t="str">
        <f>IF(B21="","",IFERROR(INDEX(Measures!$F$6:$F$65,MATCH(B21,Measures!$A$6:$A$65,0)),""))</f>
        <v/>
      </c>
      <c r="E21" s="20"/>
      <c r="F21" s="20"/>
      <c r="G21" s="70"/>
      <c r="H21" s="70"/>
      <c r="I21" s="20"/>
      <c r="J21" s="70"/>
      <c r="K21" s="50" t="str">
        <f>IF(OR(B21="",I21&lt;&gt;"Open",H21=""),"",MAX(0,Setup!$B$8-H21))</f>
        <v/>
      </c>
      <c r="L21" s="29" t="str">
        <f t="shared" si="0"/>
        <v/>
      </c>
    </row>
    <row r="22" spans="1:12" x14ac:dyDescent="0.45">
      <c r="A22" s="20"/>
      <c r="B22" s="20"/>
      <c r="C22" s="15" t="str">
        <f>IF(B22="","",IFERROR(INDEX(Measures!$C$6:$C$65,MATCH(B22,Measures!$A$6:$A$65,0)),"Not found"))</f>
        <v/>
      </c>
      <c r="D22" s="15" t="str">
        <f>IF(B22="","",IFERROR(INDEX(Measures!$F$6:$F$65,MATCH(B22,Measures!$A$6:$A$65,0)),""))</f>
        <v/>
      </c>
      <c r="E22" s="20"/>
      <c r="F22" s="20"/>
      <c r="G22" s="70"/>
      <c r="H22" s="70"/>
      <c r="I22" s="20"/>
      <c r="J22" s="70"/>
      <c r="K22" s="50" t="str">
        <f>IF(OR(B22="",I22&lt;&gt;"Open",H22=""),"",MAX(0,Setup!$B$8-H22))</f>
        <v/>
      </c>
      <c r="L22" s="29" t="str">
        <f t="shared" si="0"/>
        <v/>
      </c>
    </row>
    <row r="23" spans="1:12" x14ac:dyDescent="0.45">
      <c r="A23" s="20"/>
      <c r="B23" s="20"/>
      <c r="C23" s="15" t="str">
        <f>IF(B23="","",IFERROR(INDEX(Measures!$C$6:$C$65,MATCH(B23,Measures!$A$6:$A$65,0)),"Not found"))</f>
        <v/>
      </c>
      <c r="D23" s="15" t="str">
        <f>IF(B23="","",IFERROR(INDEX(Measures!$F$6:$F$65,MATCH(B23,Measures!$A$6:$A$65,0)),""))</f>
        <v/>
      </c>
      <c r="E23" s="20"/>
      <c r="F23" s="20"/>
      <c r="G23" s="70"/>
      <c r="H23" s="70"/>
      <c r="I23" s="20"/>
      <c r="J23" s="70"/>
      <c r="K23" s="50" t="str">
        <f>IF(OR(B23="",I23&lt;&gt;"Open",H23=""),"",MAX(0,Setup!$B$8-H23))</f>
        <v/>
      </c>
      <c r="L23" s="29" t="str">
        <f t="shared" si="0"/>
        <v/>
      </c>
    </row>
    <row r="24" spans="1:12" x14ac:dyDescent="0.45">
      <c r="A24" s="20"/>
      <c r="B24" s="20"/>
      <c r="C24" s="15" t="str">
        <f>IF(B24="","",IFERROR(INDEX(Measures!$C$6:$C$65,MATCH(B24,Measures!$A$6:$A$65,0)),"Not found"))</f>
        <v/>
      </c>
      <c r="D24" s="15" t="str">
        <f>IF(B24="","",IFERROR(INDEX(Measures!$F$6:$F$65,MATCH(B24,Measures!$A$6:$A$65,0)),""))</f>
        <v/>
      </c>
      <c r="E24" s="20"/>
      <c r="F24" s="20"/>
      <c r="G24" s="70"/>
      <c r="H24" s="70"/>
      <c r="I24" s="20"/>
      <c r="J24" s="70"/>
      <c r="K24" s="50" t="str">
        <f>IF(OR(B24="",I24&lt;&gt;"Open",H24=""),"",MAX(0,Setup!$B$8-H24))</f>
        <v/>
      </c>
      <c r="L24" s="29" t="str">
        <f t="shared" si="0"/>
        <v/>
      </c>
    </row>
    <row r="25" spans="1:12" x14ac:dyDescent="0.45">
      <c r="A25" s="20"/>
      <c r="B25" s="20"/>
      <c r="C25" s="15" t="str">
        <f>IF(B25="","",IFERROR(INDEX(Measures!$C$6:$C$65,MATCH(B25,Measures!$A$6:$A$65,0)),"Not found"))</f>
        <v/>
      </c>
      <c r="D25" s="15" t="str">
        <f>IF(B25="","",IFERROR(INDEX(Measures!$F$6:$F$65,MATCH(B25,Measures!$A$6:$A$65,0)),""))</f>
        <v/>
      </c>
      <c r="E25" s="20"/>
      <c r="F25" s="20"/>
      <c r="G25" s="70"/>
      <c r="H25" s="70"/>
      <c r="I25" s="20"/>
      <c r="J25" s="70"/>
      <c r="K25" s="50" t="str">
        <f>IF(OR(B25="",I25&lt;&gt;"Open",H25=""),"",MAX(0,Setup!$B$8-H25))</f>
        <v/>
      </c>
      <c r="L25" s="29" t="str">
        <f t="shared" si="0"/>
        <v/>
      </c>
    </row>
    <row r="26" spans="1:12" x14ac:dyDescent="0.45">
      <c r="A26" s="20"/>
      <c r="B26" s="20"/>
      <c r="C26" s="15" t="str">
        <f>IF(B26="","",IFERROR(INDEX(Measures!$C$6:$C$65,MATCH(B26,Measures!$A$6:$A$65,0)),"Not found"))</f>
        <v/>
      </c>
      <c r="D26" s="15" t="str">
        <f>IF(B26="","",IFERROR(INDEX(Measures!$F$6:$F$65,MATCH(B26,Measures!$A$6:$A$65,0)),""))</f>
        <v/>
      </c>
      <c r="E26" s="20"/>
      <c r="F26" s="20"/>
      <c r="G26" s="70"/>
      <c r="H26" s="70"/>
      <c r="I26" s="20"/>
      <c r="J26" s="70"/>
      <c r="K26" s="50" t="str">
        <f>IF(OR(B26="",I26&lt;&gt;"Open",H26=""),"",MAX(0,Setup!$B$8-H26))</f>
        <v/>
      </c>
      <c r="L26" s="29" t="str">
        <f t="shared" si="0"/>
        <v/>
      </c>
    </row>
    <row r="27" spans="1:12" x14ac:dyDescent="0.45">
      <c r="A27" s="20"/>
      <c r="B27" s="20"/>
      <c r="C27" s="15" t="str">
        <f>IF(B27="","",IFERROR(INDEX(Measures!$C$6:$C$65,MATCH(B27,Measures!$A$6:$A$65,0)),"Not found"))</f>
        <v/>
      </c>
      <c r="D27" s="15" t="str">
        <f>IF(B27="","",IFERROR(INDEX(Measures!$F$6:$F$65,MATCH(B27,Measures!$A$6:$A$65,0)),""))</f>
        <v/>
      </c>
      <c r="E27" s="20"/>
      <c r="F27" s="20"/>
      <c r="G27" s="70"/>
      <c r="H27" s="70"/>
      <c r="I27" s="20"/>
      <c r="J27" s="70"/>
      <c r="K27" s="50" t="str">
        <f>IF(OR(B27="",I27&lt;&gt;"Open",H27=""),"",MAX(0,Setup!$B$8-H27))</f>
        <v/>
      </c>
      <c r="L27" s="29" t="str">
        <f t="shared" si="0"/>
        <v/>
      </c>
    </row>
    <row r="28" spans="1:12" x14ac:dyDescent="0.45">
      <c r="A28" s="20"/>
      <c r="B28" s="20"/>
      <c r="C28" s="15" t="str">
        <f>IF(B28="","",IFERROR(INDEX(Measures!$C$6:$C$65,MATCH(B28,Measures!$A$6:$A$65,0)),"Not found"))</f>
        <v/>
      </c>
      <c r="D28" s="15" t="str">
        <f>IF(B28="","",IFERROR(INDEX(Measures!$F$6:$F$65,MATCH(B28,Measures!$A$6:$A$65,0)),""))</f>
        <v/>
      </c>
      <c r="E28" s="20"/>
      <c r="F28" s="20"/>
      <c r="G28" s="70"/>
      <c r="H28" s="70"/>
      <c r="I28" s="20"/>
      <c r="J28" s="70"/>
      <c r="K28" s="50" t="str">
        <f>IF(OR(B28="",I28&lt;&gt;"Open",H28=""),"",MAX(0,Setup!$B$8-H28))</f>
        <v/>
      </c>
      <c r="L28" s="29" t="str">
        <f t="shared" si="0"/>
        <v/>
      </c>
    </row>
    <row r="29" spans="1:12" x14ac:dyDescent="0.45">
      <c r="A29" s="20"/>
      <c r="B29" s="20"/>
      <c r="C29" s="15" t="str">
        <f>IF(B29="","",IFERROR(INDEX(Measures!$C$6:$C$65,MATCH(B29,Measures!$A$6:$A$65,0)),"Not found"))</f>
        <v/>
      </c>
      <c r="D29" s="15" t="str">
        <f>IF(B29="","",IFERROR(INDEX(Measures!$F$6:$F$65,MATCH(B29,Measures!$A$6:$A$65,0)),""))</f>
        <v/>
      </c>
      <c r="E29" s="20"/>
      <c r="F29" s="20"/>
      <c r="G29" s="70"/>
      <c r="H29" s="70"/>
      <c r="I29" s="20"/>
      <c r="J29" s="70"/>
      <c r="K29" s="50" t="str">
        <f>IF(OR(B29="",I29&lt;&gt;"Open",H29=""),"",MAX(0,Setup!$B$8-H29))</f>
        <v/>
      </c>
      <c r="L29" s="29" t="str">
        <f t="shared" si="0"/>
        <v/>
      </c>
    </row>
    <row r="30" spans="1:12" x14ac:dyDescent="0.45">
      <c r="A30" s="20"/>
      <c r="B30" s="20"/>
      <c r="C30" s="15" t="str">
        <f>IF(B30="","",IFERROR(INDEX(Measures!$C$6:$C$65,MATCH(B30,Measures!$A$6:$A$65,0)),"Not found"))</f>
        <v/>
      </c>
      <c r="D30" s="15" t="str">
        <f>IF(B30="","",IFERROR(INDEX(Measures!$F$6:$F$65,MATCH(B30,Measures!$A$6:$A$65,0)),""))</f>
        <v/>
      </c>
      <c r="E30" s="20"/>
      <c r="F30" s="20"/>
      <c r="G30" s="70"/>
      <c r="H30" s="70"/>
      <c r="I30" s="20"/>
      <c r="J30" s="70"/>
      <c r="K30" s="50" t="str">
        <f>IF(OR(B30="",I30&lt;&gt;"Open",H30=""),"",MAX(0,Setup!$B$8-H30))</f>
        <v/>
      </c>
      <c r="L30" s="29" t="str">
        <f t="shared" si="0"/>
        <v/>
      </c>
    </row>
    <row r="31" spans="1:12" x14ac:dyDescent="0.45">
      <c r="A31" s="20"/>
      <c r="B31" s="20"/>
      <c r="C31" s="15" t="str">
        <f>IF(B31="","",IFERROR(INDEX(Measures!$C$6:$C$65,MATCH(B31,Measures!$A$6:$A$65,0)),"Not found"))</f>
        <v/>
      </c>
      <c r="D31" s="15" t="str">
        <f>IF(B31="","",IFERROR(INDEX(Measures!$F$6:$F$65,MATCH(B31,Measures!$A$6:$A$65,0)),""))</f>
        <v/>
      </c>
      <c r="E31" s="20"/>
      <c r="F31" s="20"/>
      <c r="G31" s="70"/>
      <c r="H31" s="70"/>
      <c r="I31" s="20"/>
      <c r="J31" s="70"/>
      <c r="K31" s="50" t="str">
        <f>IF(OR(B31="",I31&lt;&gt;"Open",H31=""),"",MAX(0,Setup!$B$8-H31))</f>
        <v/>
      </c>
      <c r="L31" s="29" t="str">
        <f t="shared" si="0"/>
        <v/>
      </c>
    </row>
    <row r="32" spans="1:12" x14ac:dyDescent="0.45">
      <c r="A32" s="20"/>
      <c r="B32" s="20"/>
      <c r="C32" s="15" t="str">
        <f>IF(B32="","",IFERROR(INDEX(Measures!$C$6:$C$65,MATCH(B32,Measures!$A$6:$A$65,0)),"Not found"))</f>
        <v/>
      </c>
      <c r="D32" s="15" t="str">
        <f>IF(B32="","",IFERROR(INDEX(Measures!$F$6:$F$65,MATCH(B32,Measures!$A$6:$A$65,0)),""))</f>
        <v/>
      </c>
      <c r="E32" s="20"/>
      <c r="F32" s="20"/>
      <c r="G32" s="70"/>
      <c r="H32" s="70"/>
      <c r="I32" s="20"/>
      <c r="J32" s="70"/>
      <c r="K32" s="50" t="str">
        <f>IF(OR(B32="",I32&lt;&gt;"Open",H32=""),"",MAX(0,Setup!$B$8-H32))</f>
        <v/>
      </c>
      <c r="L32" s="29" t="str">
        <f t="shared" si="0"/>
        <v/>
      </c>
    </row>
    <row r="33" spans="1:12" x14ac:dyDescent="0.45">
      <c r="A33" s="20"/>
      <c r="B33" s="20"/>
      <c r="C33" s="15" t="str">
        <f>IF(B33="","",IFERROR(INDEX(Measures!$C$6:$C$65,MATCH(B33,Measures!$A$6:$A$65,0)),"Not found"))</f>
        <v/>
      </c>
      <c r="D33" s="15" t="str">
        <f>IF(B33="","",IFERROR(INDEX(Measures!$F$6:$F$65,MATCH(B33,Measures!$A$6:$A$65,0)),""))</f>
        <v/>
      </c>
      <c r="E33" s="20"/>
      <c r="F33" s="20"/>
      <c r="G33" s="70"/>
      <c r="H33" s="70"/>
      <c r="I33" s="20"/>
      <c r="J33" s="70"/>
      <c r="K33" s="50" t="str">
        <f>IF(OR(B33="",I33&lt;&gt;"Open",H33=""),"",MAX(0,Setup!$B$8-H33))</f>
        <v/>
      </c>
      <c r="L33" s="29" t="str">
        <f t="shared" si="0"/>
        <v/>
      </c>
    </row>
    <row r="34" spans="1:12" x14ac:dyDescent="0.45">
      <c r="A34" s="20"/>
      <c r="B34" s="20"/>
      <c r="C34" s="15" t="str">
        <f>IF(B34="","",IFERROR(INDEX(Measures!$C$6:$C$65,MATCH(B34,Measures!$A$6:$A$65,0)),"Not found"))</f>
        <v/>
      </c>
      <c r="D34" s="15" t="str">
        <f>IF(B34="","",IFERROR(INDEX(Measures!$F$6:$F$65,MATCH(B34,Measures!$A$6:$A$65,0)),""))</f>
        <v/>
      </c>
      <c r="E34" s="20"/>
      <c r="F34" s="20"/>
      <c r="G34" s="70"/>
      <c r="H34" s="70"/>
      <c r="I34" s="20"/>
      <c r="J34" s="70"/>
      <c r="K34" s="50" t="str">
        <f>IF(OR(B34="",I34&lt;&gt;"Open",H34=""),"",MAX(0,Setup!$B$8-H34))</f>
        <v/>
      </c>
      <c r="L34" s="29" t="str">
        <f t="shared" si="0"/>
        <v/>
      </c>
    </row>
    <row r="35" spans="1:12" x14ac:dyDescent="0.45">
      <c r="A35" s="20"/>
      <c r="B35" s="20"/>
      <c r="C35" s="15" t="str">
        <f>IF(B35="","",IFERROR(INDEX(Measures!$C$6:$C$65,MATCH(B35,Measures!$A$6:$A$65,0)),"Not found"))</f>
        <v/>
      </c>
      <c r="D35" s="15" t="str">
        <f>IF(B35="","",IFERROR(INDEX(Measures!$F$6:$F$65,MATCH(B35,Measures!$A$6:$A$65,0)),""))</f>
        <v/>
      </c>
      <c r="E35" s="20"/>
      <c r="F35" s="20"/>
      <c r="G35" s="70"/>
      <c r="H35" s="70"/>
      <c r="I35" s="20"/>
      <c r="J35" s="70"/>
      <c r="K35" s="50" t="str">
        <f>IF(OR(B35="",I35&lt;&gt;"Open",H35=""),"",MAX(0,Setup!$B$8-H35))</f>
        <v/>
      </c>
      <c r="L35" s="29" t="str">
        <f t="shared" si="0"/>
        <v/>
      </c>
    </row>
    <row r="36" spans="1:12" x14ac:dyDescent="0.45">
      <c r="A36" s="20"/>
      <c r="B36" s="20"/>
      <c r="C36" s="15" t="str">
        <f>IF(B36="","",IFERROR(INDEX(Measures!$C$6:$C$65,MATCH(B36,Measures!$A$6:$A$65,0)),"Not found"))</f>
        <v/>
      </c>
      <c r="D36" s="15" t="str">
        <f>IF(B36="","",IFERROR(INDEX(Measures!$F$6:$F$65,MATCH(B36,Measures!$A$6:$A$65,0)),""))</f>
        <v/>
      </c>
      <c r="E36" s="20"/>
      <c r="F36" s="20"/>
      <c r="G36" s="70"/>
      <c r="H36" s="70"/>
      <c r="I36" s="20"/>
      <c r="J36" s="70"/>
      <c r="K36" s="50" t="str">
        <f>IF(OR(B36="",I36&lt;&gt;"Open",H36=""),"",MAX(0,Setup!$B$8-H36))</f>
        <v/>
      </c>
      <c r="L36" s="29" t="str">
        <f t="shared" si="0"/>
        <v/>
      </c>
    </row>
    <row r="37" spans="1:12" x14ac:dyDescent="0.45">
      <c r="A37" s="20"/>
      <c r="B37" s="20"/>
      <c r="C37" s="15" t="str">
        <f>IF(B37="","",IFERROR(INDEX(Measures!$C$6:$C$65,MATCH(B37,Measures!$A$6:$A$65,0)),"Not found"))</f>
        <v/>
      </c>
      <c r="D37" s="15" t="str">
        <f>IF(B37="","",IFERROR(INDEX(Measures!$F$6:$F$65,MATCH(B37,Measures!$A$6:$A$65,0)),""))</f>
        <v/>
      </c>
      <c r="E37" s="20"/>
      <c r="F37" s="20"/>
      <c r="G37" s="70"/>
      <c r="H37" s="70"/>
      <c r="I37" s="20"/>
      <c r="J37" s="70"/>
      <c r="K37" s="50" t="str">
        <f>IF(OR(B37="",I37&lt;&gt;"Open",H37=""),"",MAX(0,Setup!$B$8-H37))</f>
        <v/>
      </c>
      <c r="L37" s="29" t="str">
        <f t="shared" si="0"/>
        <v/>
      </c>
    </row>
    <row r="38" spans="1:12" x14ac:dyDescent="0.45">
      <c r="A38" s="20"/>
      <c r="B38" s="20"/>
      <c r="C38" s="15" t="str">
        <f>IF(B38="","",IFERROR(INDEX(Measures!$C$6:$C$65,MATCH(B38,Measures!$A$6:$A$65,0)),"Not found"))</f>
        <v/>
      </c>
      <c r="D38" s="15" t="str">
        <f>IF(B38="","",IFERROR(INDEX(Measures!$F$6:$F$65,MATCH(B38,Measures!$A$6:$A$65,0)),""))</f>
        <v/>
      </c>
      <c r="E38" s="20"/>
      <c r="F38" s="20"/>
      <c r="G38" s="70"/>
      <c r="H38" s="70"/>
      <c r="I38" s="20"/>
      <c r="J38" s="70"/>
      <c r="K38" s="50" t="str">
        <f>IF(OR(B38="",I38&lt;&gt;"Open",H38=""),"",MAX(0,Setup!$B$8-H38))</f>
        <v/>
      </c>
      <c r="L38" s="29" t="str">
        <f t="shared" ref="L38:L69" si="1">IF(B38="","",IF(I38="Done","Closed",IF(K38="","",IF(K38&gt;0,"Overdue","On time"))))</f>
        <v/>
      </c>
    </row>
    <row r="39" spans="1:12" x14ac:dyDescent="0.45">
      <c r="A39" s="20"/>
      <c r="B39" s="20"/>
      <c r="C39" s="15" t="str">
        <f>IF(B39="","",IFERROR(INDEX(Measures!$C$6:$C$65,MATCH(B39,Measures!$A$6:$A$65,0)),"Not found"))</f>
        <v/>
      </c>
      <c r="D39" s="15" t="str">
        <f>IF(B39="","",IFERROR(INDEX(Measures!$F$6:$F$65,MATCH(B39,Measures!$A$6:$A$65,0)),""))</f>
        <v/>
      </c>
      <c r="E39" s="20"/>
      <c r="F39" s="20"/>
      <c r="G39" s="70"/>
      <c r="H39" s="70"/>
      <c r="I39" s="20"/>
      <c r="J39" s="70"/>
      <c r="K39" s="50" t="str">
        <f>IF(OR(B39="",I39&lt;&gt;"Open",H39=""),"",MAX(0,Setup!$B$8-H39))</f>
        <v/>
      </c>
      <c r="L39" s="29" t="str">
        <f t="shared" si="1"/>
        <v/>
      </c>
    </row>
    <row r="40" spans="1:12" x14ac:dyDescent="0.45">
      <c r="A40" s="20"/>
      <c r="B40" s="20"/>
      <c r="C40" s="15" t="str">
        <f>IF(B40="","",IFERROR(INDEX(Measures!$C$6:$C$65,MATCH(B40,Measures!$A$6:$A$65,0)),"Not found"))</f>
        <v/>
      </c>
      <c r="D40" s="15" t="str">
        <f>IF(B40="","",IFERROR(INDEX(Measures!$F$6:$F$65,MATCH(B40,Measures!$A$6:$A$65,0)),""))</f>
        <v/>
      </c>
      <c r="E40" s="20"/>
      <c r="F40" s="20"/>
      <c r="G40" s="70"/>
      <c r="H40" s="70"/>
      <c r="I40" s="20"/>
      <c r="J40" s="70"/>
      <c r="K40" s="50" t="str">
        <f>IF(OR(B40="",I40&lt;&gt;"Open",H40=""),"",MAX(0,Setup!$B$8-H40))</f>
        <v/>
      </c>
      <c r="L40" s="29" t="str">
        <f t="shared" si="1"/>
        <v/>
      </c>
    </row>
    <row r="41" spans="1:12" x14ac:dyDescent="0.45">
      <c r="A41" s="20"/>
      <c r="B41" s="20"/>
      <c r="C41" s="15" t="str">
        <f>IF(B41="","",IFERROR(INDEX(Measures!$C$6:$C$65,MATCH(B41,Measures!$A$6:$A$65,0)),"Not found"))</f>
        <v/>
      </c>
      <c r="D41" s="15" t="str">
        <f>IF(B41="","",IFERROR(INDEX(Measures!$F$6:$F$65,MATCH(B41,Measures!$A$6:$A$65,0)),""))</f>
        <v/>
      </c>
      <c r="E41" s="20"/>
      <c r="F41" s="20"/>
      <c r="G41" s="70"/>
      <c r="H41" s="70"/>
      <c r="I41" s="20"/>
      <c r="J41" s="70"/>
      <c r="K41" s="50" t="str">
        <f>IF(OR(B41="",I41&lt;&gt;"Open",H41=""),"",MAX(0,Setup!$B$8-H41))</f>
        <v/>
      </c>
      <c r="L41" s="29" t="str">
        <f t="shared" si="1"/>
        <v/>
      </c>
    </row>
    <row r="42" spans="1:12" x14ac:dyDescent="0.45">
      <c r="A42" s="20"/>
      <c r="B42" s="20"/>
      <c r="C42" s="15" t="str">
        <f>IF(B42="","",IFERROR(INDEX(Measures!$C$6:$C$65,MATCH(B42,Measures!$A$6:$A$65,0)),"Not found"))</f>
        <v/>
      </c>
      <c r="D42" s="15" t="str">
        <f>IF(B42="","",IFERROR(INDEX(Measures!$F$6:$F$65,MATCH(B42,Measures!$A$6:$A$65,0)),""))</f>
        <v/>
      </c>
      <c r="E42" s="20"/>
      <c r="F42" s="20"/>
      <c r="G42" s="70"/>
      <c r="H42" s="70"/>
      <c r="I42" s="20"/>
      <c r="J42" s="70"/>
      <c r="K42" s="50" t="str">
        <f>IF(OR(B42="",I42&lt;&gt;"Open",H42=""),"",MAX(0,Setup!$B$8-H42))</f>
        <v/>
      </c>
      <c r="L42" s="29" t="str">
        <f t="shared" si="1"/>
        <v/>
      </c>
    </row>
    <row r="43" spans="1:12" x14ac:dyDescent="0.45">
      <c r="A43" s="20"/>
      <c r="B43" s="20"/>
      <c r="C43" s="15" t="str">
        <f>IF(B43="","",IFERROR(INDEX(Measures!$C$6:$C$65,MATCH(B43,Measures!$A$6:$A$65,0)),"Not found"))</f>
        <v/>
      </c>
      <c r="D43" s="15" t="str">
        <f>IF(B43="","",IFERROR(INDEX(Measures!$F$6:$F$65,MATCH(B43,Measures!$A$6:$A$65,0)),""))</f>
        <v/>
      </c>
      <c r="E43" s="20"/>
      <c r="F43" s="20"/>
      <c r="G43" s="70"/>
      <c r="H43" s="70"/>
      <c r="I43" s="20"/>
      <c r="J43" s="70"/>
      <c r="K43" s="50" t="str">
        <f>IF(OR(B43="",I43&lt;&gt;"Open",H43=""),"",MAX(0,Setup!$B$8-H43))</f>
        <v/>
      </c>
      <c r="L43" s="29" t="str">
        <f t="shared" si="1"/>
        <v/>
      </c>
    </row>
    <row r="44" spans="1:12" x14ac:dyDescent="0.45">
      <c r="A44" s="20"/>
      <c r="B44" s="20"/>
      <c r="C44" s="15" t="str">
        <f>IF(B44="","",IFERROR(INDEX(Measures!$C$6:$C$65,MATCH(B44,Measures!$A$6:$A$65,0)),"Not found"))</f>
        <v/>
      </c>
      <c r="D44" s="15" t="str">
        <f>IF(B44="","",IFERROR(INDEX(Measures!$F$6:$F$65,MATCH(B44,Measures!$A$6:$A$65,0)),""))</f>
        <v/>
      </c>
      <c r="E44" s="20"/>
      <c r="F44" s="20"/>
      <c r="G44" s="70"/>
      <c r="H44" s="70"/>
      <c r="I44" s="20"/>
      <c r="J44" s="70"/>
      <c r="K44" s="50" t="str">
        <f>IF(OR(B44="",I44&lt;&gt;"Open",H44=""),"",MAX(0,Setup!$B$8-H44))</f>
        <v/>
      </c>
      <c r="L44" s="29" t="str">
        <f t="shared" si="1"/>
        <v/>
      </c>
    </row>
    <row r="45" spans="1:12" x14ac:dyDescent="0.45">
      <c r="A45" s="20"/>
      <c r="B45" s="20"/>
      <c r="C45" s="15" t="str">
        <f>IF(B45="","",IFERROR(INDEX(Measures!$C$6:$C$65,MATCH(B45,Measures!$A$6:$A$65,0)),"Not found"))</f>
        <v/>
      </c>
      <c r="D45" s="15" t="str">
        <f>IF(B45="","",IFERROR(INDEX(Measures!$F$6:$F$65,MATCH(B45,Measures!$A$6:$A$65,0)),""))</f>
        <v/>
      </c>
      <c r="E45" s="20"/>
      <c r="F45" s="20"/>
      <c r="G45" s="70"/>
      <c r="H45" s="70"/>
      <c r="I45" s="20"/>
      <c r="J45" s="70"/>
      <c r="K45" s="50" t="str">
        <f>IF(OR(B45="",I45&lt;&gt;"Open",H45=""),"",MAX(0,Setup!$B$8-H45))</f>
        <v/>
      </c>
      <c r="L45" s="29" t="str">
        <f t="shared" si="1"/>
        <v/>
      </c>
    </row>
    <row r="46" spans="1:12" x14ac:dyDescent="0.45">
      <c r="A46" s="20"/>
      <c r="B46" s="20"/>
      <c r="C46" s="15" t="str">
        <f>IF(B46="","",IFERROR(INDEX(Measures!$C$6:$C$65,MATCH(B46,Measures!$A$6:$A$65,0)),"Not found"))</f>
        <v/>
      </c>
      <c r="D46" s="15" t="str">
        <f>IF(B46="","",IFERROR(INDEX(Measures!$F$6:$F$65,MATCH(B46,Measures!$A$6:$A$65,0)),""))</f>
        <v/>
      </c>
      <c r="E46" s="20"/>
      <c r="F46" s="20"/>
      <c r="G46" s="70"/>
      <c r="H46" s="70"/>
      <c r="I46" s="20"/>
      <c r="J46" s="70"/>
      <c r="K46" s="50" t="str">
        <f>IF(OR(B46="",I46&lt;&gt;"Open",H46=""),"",MAX(0,Setup!$B$8-H46))</f>
        <v/>
      </c>
      <c r="L46" s="29" t="str">
        <f t="shared" si="1"/>
        <v/>
      </c>
    </row>
    <row r="47" spans="1:12" x14ac:dyDescent="0.45">
      <c r="A47" s="20"/>
      <c r="B47" s="20"/>
      <c r="C47" s="15" t="str">
        <f>IF(B47="","",IFERROR(INDEX(Measures!$C$6:$C$65,MATCH(B47,Measures!$A$6:$A$65,0)),"Not found"))</f>
        <v/>
      </c>
      <c r="D47" s="15" t="str">
        <f>IF(B47="","",IFERROR(INDEX(Measures!$F$6:$F$65,MATCH(B47,Measures!$A$6:$A$65,0)),""))</f>
        <v/>
      </c>
      <c r="E47" s="20"/>
      <c r="F47" s="20"/>
      <c r="G47" s="70"/>
      <c r="H47" s="70"/>
      <c r="I47" s="20"/>
      <c r="J47" s="70"/>
      <c r="K47" s="50" t="str">
        <f>IF(OR(B47="",I47&lt;&gt;"Open",H47=""),"",MAX(0,Setup!$B$8-H47))</f>
        <v/>
      </c>
      <c r="L47" s="29" t="str">
        <f t="shared" si="1"/>
        <v/>
      </c>
    </row>
    <row r="48" spans="1:12" x14ac:dyDescent="0.45">
      <c r="A48" s="20"/>
      <c r="B48" s="20"/>
      <c r="C48" s="15" t="str">
        <f>IF(B48="","",IFERROR(INDEX(Measures!$C$6:$C$65,MATCH(B48,Measures!$A$6:$A$65,0)),"Not found"))</f>
        <v/>
      </c>
      <c r="D48" s="15" t="str">
        <f>IF(B48="","",IFERROR(INDEX(Measures!$F$6:$F$65,MATCH(B48,Measures!$A$6:$A$65,0)),""))</f>
        <v/>
      </c>
      <c r="E48" s="20"/>
      <c r="F48" s="20"/>
      <c r="G48" s="70"/>
      <c r="H48" s="70"/>
      <c r="I48" s="20"/>
      <c r="J48" s="70"/>
      <c r="K48" s="50" t="str">
        <f>IF(OR(B48="",I48&lt;&gt;"Open",H48=""),"",MAX(0,Setup!$B$8-H48))</f>
        <v/>
      </c>
      <c r="L48" s="29" t="str">
        <f t="shared" si="1"/>
        <v/>
      </c>
    </row>
    <row r="49" spans="1:12" x14ac:dyDescent="0.45">
      <c r="A49" s="20"/>
      <c r="B49" s="20"/>
      <c r="C49" s="15" t="str">
        <f>IF(B49="","",IFERROR(INDEX(Measures!$C$6:$C$65,MATCH(B49,Measures!$A$6:$A$65,0)),"Not found"))</f>
        <v/>
      </c>
      <c r="D49" s="15" t="str">
        <f>IF(B49="","",IFERROR(INDEX(Measures!$F$6:$F$65,MATCH(B49,Measures!$A$6:$A$65,0)),""))</f>
        <v/>
      </c>
      <c r="E49" s="20"/>
      <c r="F49" s="20"/>
      <c r="G49" s="70"/>
      <c r="H49" s="70"/>
      <c r="I49" s="20"/>
      <c r="J49" s="70"/>
      <c r="K49" s="50" t="str">
        <f>IF(OR(B49="",I49&lt;&gt;"Open",H49=""),"",MAX(0,Setup!$B$8-H49))</f>
        <v/>
      </c>
      <c r="L49" s="29" t="str">
        <f t="shared" si="1"/>
        <v/>
      </c>
    </row>
    <row r="50" spans="1:12" x14ac:dyDescent="0.45">
      <c r="A50" s="20"/>
      <c r="B50" s="20"/>
      <c r="C50" s="15" t="str">
        <f>IF(B50="","",IFERROR(INDEX(Measures!$C$6:$C$65,MATCH(B50,Measures!$A$6:$A$65,0)),"Not found"))</f>
        <v/>
      </c>
      <c r="D50" s="15" t="str">
        <f>IF(B50="","",IFERROR(INDEX(Measures!$F$6:$F$65,MATCH(B50,Measures!$A$6:$A$65,0)),""))</f>
        <v/>
      </c>
      <c r="E50" s="20"/>
      <c r="F50" s="20"/>
      <c r="G50" s="70"/>
      <c r="H50" s="70"/>
      <c r="I50" s="20"/>
      <c r="J50" s="70"/>
      <c r="K50" s="50" t="str">
        <f>IF(OR(B50="",I50&lt;&gt;"Open",H50=""),"",MAX(0,Setup!$B$8-H50))</f>
        <v/>
      </c>
      <c r="L50" s="29" t="str">
        <f t="shared" si="1"/>
        <v/>
      </c>
    </row>
    <row r="51" spans="1:12" x14ac:dyDescent="0.45">
      <c r="A51" s="20"/>
      <c r="B51" s="20"/>
      <c r="C51" s="15" t="str">
        <f>IF(B51="","",IFERROR(INDEX(Measures!$C$6:$C$65,MATCH(B51,Measures!$A$6:$A$65,0)),"Not found"))</f>
        <v/>
      </c>
      <c r="D51" s="15" t="str">
        <f>IF(B51="","",IFERROR(INDEX(Measures!$F$6:$F$65,MATCH(B51,Measures!$A$6:$A$65,0)),""))</f>
        <v/>
      </c>
      <c r="E51" s="20"/>
      <c r="F51" s="20"/>
      <c r="G51" s="70"/>
      <c r="H51" s="70"/>
      <c r="I51" s="20"/>
      <c r="J51" s="70"/>
      <c r="K51" s="50" t="str">
        <f>IF(OR(B51="",I51&lt;&gt;"Open",H51=""),"",MAX(0,Setup!$B$8-H51))</f>
        <v/>
      </c>
      <c r="L51" s="29" t="str">
        <f t="shared" si="1"/>
        <v/>
      </c>
    </row>
    <row r="52" spans="1:12" x14ac:dyDescent="0.45">
      <c r="A52" s="20"/>
      <c r="B52" s="20"/>
      <c r="C52" s="15" t="str">
        <f>IF(B52="","",IFERROR(INDEX(Measures!$C$6:$C$65,MATCH(B52,Measures!$A$6:$A$65,0)),"Not found"))</f>
        <v/>
      </c>
      <c r="D52" s="15" t="str">
        <f>IF(B52="","",IFERROR(INDEX(Measures!$F$6:$F$65,MATCH(B52,Measures!$A$6:$A$65,0)),""))</f>
        <v/>
      </c>
      <c r="E52" s="20"/>
      <c r="F52" s="20"/>
      <c r="G52" s="70"/>
      <c r="H52" s="70"/>
      <c r="I52" s="20"/>
      <c r="J52" s="70"/>
      <c r="K52" s="50" t="str">
        <f>IF(OR(B52="",I52&lt;&gt;"Open",H52=""),"",MAX(0,Setup!$B$8-H52))</f>
        <v/>
      </c>
      <c r="L52" s="29" t="str">
        <f t="shared" si="1"/>
        <v/>
      </c>
    </row>
    <row r="53" spans="1:12" x14ac:dyDescent="0.45">
      <c r="A53" s="20"/>
      <c r="B53" s="20"/>
      <c r="C53" s="15" t="str">
        <f>IF(B53="","",IFERROR(INDEX(Measures!$C$6:$C$65,MATCH(B53,Measures!$A$6:$A$65,0)),"Not found"))</f>
        <v/>
      </c>
      <c r="D53" s="15" t="str">
        <f>IF(B53="","",IFERROR(INDEX(Measures!$F$6:$F$65,MATCH(B53,Measures!$A$6:$A$65,0)),""))</f>
        <v/>
      </c>
      <c r="E53" s="20"/>
      <c r="F53" s="20"/>
      <c r="G53" s="70"/>
      <c r="H53" s="70"/>
      <c r="I53" s="20"/>
      <c r="J53" s="70"/>
      <c r="K53" s="50" t="str">
        <f>IF(OR(B53="",I53&lt;&gt;"Open",H53=""),"",MAX(0,Setup!$B$8-H53))</f>
        <v/>
      </c>
      <c r="L53" s="29" t="str">
        <f t="shared" si="1"/>
        <v/>
      </c>
    </row>
    <row r="54" spans="1:12" x14ac:dyDescent="0.45">
      <c r="A54" s="20"/>
      <c r="B54" s="20"/>
      <c r="C54" s="15" t="str">
        <f>IF(B54="","",IFERROR(INDEX(Measures!$C$6:$C$65,MATCH(B54,Measures!$A$6:$A$65,0)),"Not found"))</f>
        <v/>
      </c>
      <c r="D54" s="15" t="str">
        <f>IF(B54="","",IFERROR(INDEX(Measures!$F$6:$F$65,MATCH(B54,Measures!$A$6:$A$65,0)),""))</f>
        <v/>
      </c>
      <c r="E54" s="20"/>
      <c r="F54" s="20"/>
      <c r="G54" s="70"/>
      <c r="H54" s="70"/>
      <c r="I54" s="20"/>
      <c r="J54" s="70"/>
      <c r="K54" s="50" t="str">
        <f>IF(OR(B54="",I54&lt;&gt;"Open",H54=""),"",MAX(0,Setup!$B$8-H54))</f>
        <v/>
      </c>
      <c r="L54" s="29" t="str">
        <f t="shared" si="1"/>
        <v/>
      </c>
    </row>
    <row r="55" spans="1:12" x14ac:dyDescent="0.45">
      <c r="A55" s="20"/>
      <c r="B55" s="20"/>
      <c r="C55" s="15" t="str">
        <f>IF(B55="","",IFERROR(INDEX(Measures!$C$6:$C$65,MATCH(B55,Measures!$A$6:$A$65,0)),"Not found"))</f>
        <v/>
      </c>
      <c r="D55" s="15" t="str">
        <f>IF(B55="","",IFERROR(INDEX(Measures!$F$6:$F$65,MATCH(B55,Measures!$A$6:$A$65,0)),""))</f>
        <v/>
      </c>
      <c r="E55" s="20"/>
      <c r="F55" s="20"/>
      <c r="G55" s="70"/>
      <c r="H55" s="70"/>
      <c r="I55" s="20"/>
      <c r="J55" s="70"/>
      <c r="K55" s="50" t="str">
        <f>IF(OR(B55="",I55&lt;&gt;"Open",H55=""),"",MAX(0,Setup!$B$8-H55))</f>
        <v/>
      </c>
      <c r="L55" s="29" t="str">
        <f t="shared" si="1"/>
        <v/>
      </c>
    </row>
    <row r="56" spans="1:12" x14ac:dyDescent="0.45">
      <c r="A56" s="20"/>
      <c r="B56" s="20"/>
      <c r="C56" s="15" t="str">
        <f>IF(B56="","",IFERROR(INDEX(Measures!$C$6:$C$65,MATCH(B56,Measures!$A$6:$A$65,0)),"Not found"))</f>
        <v/>
      </c>
      <c r="D56" s="15" t="str">
        <f>IF(B56="","",IFERROR(INDEX(Measures!$F$6:$F$65,MATCH(B56,Measures!$A$6:$A$65,0)),""))</f>
        <v/>
      </c>
      <c r="E56" s="20"/>
      <c r="F56" s="20"/>
      <c r="G56" s="70"/>
      <c r="H56" s="70"/>
      <c r="I56" s="20"/>
      <c r="J56" s="70"/>
      <c r="K56" s="50" t="str">
        <f>IF(OR(B56="",I56&lt;&gt;"Open",H56=""),"",MAX(0,Setup!$B$8-H56))</f>
        <v/>
      </c>
      <c r="L56" s="29" t="str">
        <f t="shared" si="1"/>
        <v/>
      </c>
    </row>
    <row r="57" spans="1:12" x14ac:dyDescent="0.45">
      <c r="A57" s="20"/>
      <c r="B57" s="20"/>
      <c r="C57" s="15" t="str">
        <f>IF(B57="","",IFERROR(INDEX(Measures!$C$6:$C$65,MATCH(B57,Measures!$A$6:$A$65,0)),"Not found"))</f>
        <v/>
      </c>
      <c r="D57" s="15" t="str">
        <f>IF(B57="","",IFERROR(INDEX(Measures!$F$6:$F$65,MATCH(B57,Measures!$A$6:$A$65,0)),""))</f>
        <v/>
      </c>
      <c r="E57" s="20"/>
      <c r="F57" s="20"/>
      <c r="G57" s="70"/>
      <c r="H57" s="70"/>
      <c r="I57" s="20"/>
      <c r="J57" s="70"/>
      <c r="K57" s="50" t="str">
        <f>IF(OR(B57="",I57&lt;&gt;"Open",H57=""),"",MAX(0,Setup!$B$8-H57))</f>
        <v/>
      </c>
      <c r="L57" s="29" t="str">
        <f t="shared" si="1"/>
        <v/>
      </c>
    </row>
    <row r="58" spans="1:12" x14ac:dyDescent="0.45">
      <c r="A58" s="20"/>
      <c r="B58" s="20"/>
      <c r="C58" s="15" t="str">
        <f>IF(B58="","",IFERROR(INDEX(Measures!$C$6:$C$65,MATCH(B58,Measures!$A$6:$A$65,0)),"Not found"))</f>
        <v/>
      </c>
      <c r="D58" s="15" t="str">
        <f>IF(B58="","",IFERROR(INDEX(Measures!$F$6:$F$65,MATCH(B58,Measures!$A$6:$A$65,0)),""))</f>
        <v/>
      </c>
      <c r="E58" s="20"/>
      <c r="F58" s="20"/>
      <c r="G58" s="70"/>
      <c r="H58" s="70"/>
      <c r="I58" s="20"/>
      <c r="J58" s="70"/>
      <c r="K58" s="50" t="str">
        <f>IF(OR(B58="",I58&lt;&gt;"Open",H58=""),"",MAX(0,Setup!$B$8-H58))</f>
        <v/>
      </c>
      <c r="L58" s="29" t="str">
        <f t="shared" si="1"/>
        <v/>
      </c>
    </row>
    <row r="59" spans="1:12" x14ac:dyDescent="0.45">
      <c r="A59" s="20"/>
      <c r="B59" s="20"/>
      <c r="C59" s="15" t="str">
        <f>IF(B59="","",IFERROR(INDEX(Measures!$C$6:$C$65,MATCH(B59,Measures!$A$6:$A$65,0)),"Not found"))</f>
        <v/>
      </c>
      <c r="D59" s="15" t="str">
        <f>IF(B59="","",IFERROR(INDEX(Measures!$F$6:$F$65,MATCH(B59,Measures!$A$6:$A$65,0)),""))</f>
        <v/>
      </c>
      <c r="E59" s="20"/>
      <c r="F59" s="20"/>
      <c r="G59" s="70"/>
      <c r="H59" s="70"/>
      <c r="I59" s="20"/>
      <c r="J59" s="70"/>
      <c r="K59" s="50" t="str">
        <f>IF(OR(B59="",I59&lt;&gt;"Open",H59=""),"",MAX(0,Setup!$B$8-H59))</f>
        <v/>
      </c>
      <c r="L59" s="29" t="str">
        <f t="shared" si="1"/>
        <v/>
      </c>
    </row>
    <row r="60" spans="1:12" x14ac:dyDescent="0.45">
      <c r="A60" s="20"/>
      <c r="B60" s="20"/>
      <c r="C60" s="15" t="str">
        <f>IF(B60="","",IFERROR(INDEX(Measures!$C$6:$C$65,MATCH(B60,Measures!$A$6:$A$65,0)),"Not found"))</f>
        <v/>
      </c>
      <c r="D60" s="15" t="str">
        <f>IF(B60="","",IFERROR(INDEX(Measures!$F$6:$F$65,MATCH(B60,Measures!$A$6:$A$65,0)),""))</f>
        <v/>
      </c>
      <c r="E60" s="20"/>
      <c r="F60" s="20"/>
      <c r="G60" s="70"/>
      <c r="H60" s="70"/>
      <c r="I60" s="20"/>
      <c r="J60" s="70"/>
      <c r="K60" s="50" t="str">
        <f>IF(OR(B60="",I60&lt;&gt;"Open",H60=""),"",MAX(0,Setup!$B$8-H60))</f>
        <v/>
      </c>
      <c r="L60" s="29" t="str">
        <f t="shared" si="1"/>
        <v/>
      </c>
    </row>
    <row r="61" spans="1:12" x14ac:dyDescent="0.45">
      <c r="A61" s="20"/>
      <c r="B61" s="20"/>
      <c r="C61" s="15" t="str">
        <f>IF(B61="","",IFERROR(INDEX(Measures!$C$6:$C$65,MATCH(B61,Measures!$A$6:$A$65,0)),"Not found"))</f>
        <v/>
      </c>
      <c r="D61" s="15" t="str">
        <f>IF(B61="","",IFERROR(INDEX(Measures!$F$6:$F$65,MATCH(B61,Measures!$A$6:$A$65,0)),""))</f>
        <v/>
      </c>
      <c r="E61" s="20"/>
      <c r="F61" s="20"/>
      <c r="G61" s="70"/>
      <c r="H61" s="70"/>
      <c r="I61" s="20"/>
      <c r="J61" s="70"/>
      <c r="K61" s="50" t="str">
        <f>IF(OR(B61="",I61&lt;&gt;"Open",H61=""),"",MAX(0,Setup!$B$8-H61))</f>
        <v/>
      </c>
      <c r="L61" s="29" t="str">
        <f t="shared" si="1"/>
        <v/>
      </c>
    </row>
    <row r="62" spans="1:12" x14ac:dyDescent="0.45">
      <c r="A62" s="20"/>
      <c r="B62" s="20"/>
      <c r="C62" s="15" t="str">
        <f>IF(B62="","",IFERROR(INDEX(Measures!$C$6:$C$65,MATCH(B62,Measures!$A$6:$A$65,0)),"Not found"))</f>
        <v/>
      </c>
      <c r="D62" s="15" t="str">
        <f>IF(B62="","",IFERROR(INDEX(Measures!$F$6:$F$65,MATCH(B62,Measures!$A$6:$A$65,0)),""))</f>
        <v/>
      </c>
      <c r="E62" s="20"/>
      <c r="F62" s="20"/>
      <c r="G62" s="70"/>
      <c r="H62" s="70"/>
      <c r="I62" s="20"/>
      <c r="J62" s="70"/>
      <c r="K62" s="50" t="str">
        <f>IF(OR(B62="",I62&lt;&gt;"Open",H62=""),"",MAX(0,Setup!$B$8-H62))</f>
        <v/>
      </c>
      <c r="L62" s="29" t="str">
        <f t="shared" si="1"/>
        <v/>
      </c>
    </row>
    <row r="63" spans="1:12" x14ac:dyDescent="0.45">
      <c r="A63" s="20"/>
      <c r="B63" s="20"/>
      <c r="C63" s="15" t="str">
        <f>IF(B63="","",IFERROR(INDEX(Measures!$C$6:$C$65,MATCH(B63,Measures!$A$6:$A$65,0)),"Not found"))</f>
        <v/>
      </c>
      <c r="D63" s="15" t="str">
        <f>IF(B63="","",IFERROR(INDEX(Measures!$F$6:$F$65,MATCH(B63,Measures!$A$6:$A$65,0)),""))</f>
        <v/>
      </c>
      <c r="E63" s="20"/>
      <c r="F63" s="20"/>
      <c r="G63" s="70"/>
      <c r="H63" s="70"/>
      <c r="I63" s="20"/>
      <c r="J63" s="70"/>
      <c r="K63" s="50" t="str">
        <f>IF(OR(B63="",I63&lt;&gt;"Open",H63=""),"",MAX(0,Setup!$B$8-H63))</f>
        <v/>
      </c>
      <c r="L63" s="29" t="str">
        <f t="shared" si="1"/>
        <v/>
      </c>
    </row>
    <row r="64" spans="1:12" x14ac:dyDescent="0.45">
      <c r="A64" s="20"/>
      <c r="B64" s="20"/>
      <c r="C64" s="15" t="str">
        <f>IF(B64="","",IFERROR(INDEX(Measures!$C$6:$C$65,MATCH(B64,Measures!$A$6:$A$65,0)),"Not found"))</f>
        <v/>
      </c>
      <c r="D64" s="15" t="str">
        <f>IF(B64="","",IFERROR(INDEX(Measures!$F$6:$F$65,MATCH(B64,Measures!$A$6:$A$65,0)),""))</f>
        <v/>
      </c>
      <c r="E64" s="20"/>
      <c r="F64" s="20"/>
      <c r="G64" s="70"/>
      <c r="H64" s="70"/>
      <c r="I64" s="20"/>
      <c r="J64" s="70"/>
      <c r="K64" s="50" t="str">
        <f>IF(OR(B64="",I64&lt;&gt;"Open",H64=""),"",MAX(0,Setup!$B$8-H64))</f>
        <v/>
      </c>
      <c r="L64" s="29" t="str">
        <f t="shared" si="1"/>
        <v/>
      </c>
    </row>
    <row r="65" spans="1:12" x14ac:dyDescent="0.45">
      <c r="A65" s="20"/>
      <c r="B65" s="20"/>
      <c r="C65" s="15" t="str">
        <f>IF(B65="","",IFERROR(INDEX(Measures!$C$6:$C$65,MATCH(B65,Measures!$A$6:$A$65,0)),"Not found"))</f>
        <v/>
      </c>
      <c r="D65" s="15" t="str">
        <f>IF(B65="","",IFERROR(INDEX(Measures!$F$6:$F$65,MATCH(B65,Measures!$A$6:$A$65,0)),""))</f>
        <v/>
      </c>
      <c r="E65" s="20"/>
      <c r="F65" s="20"/>
      <c r="G65" s="70"/>
      <c r="H65" s="70"/>
      <c r="I65" s="20"/>
      <c r="J65" s="70"/>
      <c r="K65" s="50" t="str">
        <f>IF(OR(B65="",I65&lt;&gt;"Open",H65=""),"",MAX(0,Setup!$B$8-H65))</f>
        <v/>
      </c>
      <c r="L65" s="29" t="str">
        <f t="shared" si="1"/>
        <v/>
      </c>
    </row>
    <row r="66" spans="1:12" x14ac:dyDescent="0.45">
      <c r="A66" s="20"/>
      <c r="B66" s="20"/>
      <c r="C66" s="15" t="str">
        <f>IF(B66="","",IFERROR(INDEX(Measures!$C$6:$C$65,MATCH(B66,Measures!$A$6:$A$65,0)),"Not found"))</f>
        <v/>
      </c>
      <c r="D66" s="15" t="str">
        <f>IF(B66="","",IFERROR(INDEX(Measures!$F$6:$F$65,MATCH(B66,Measures!$A$6:$A$65,0)),""))</f>
        <v/>
      </c>
      <c r="E66" s="20"/>
      <c r="F66" s="20"/>
      <c r="G66" s="70"/>
      <c r="H66" s="70"/>
      <c r="I66" s="20"/>
      <c r="J66" s="70"/>
      <c r="K66" s="50" t="str">
        <f>IF(OR(B66="",I66&lt;&gt;"Open",H66=""),"",MAX(0,Setup!$B$8-H66))</f>
        <v/>
      </c>
      <c r="L66" s="29" t="str">
        <f t="shared" si="1"/>
        <v/>
      </c>
    </row>
    <row r="67" spans="1:12" x14ac:dyDescent="0.45">
      <c r="A67" s="20"/>
      <c r="B67" s="20"/>
      <c r="C67" s="15" t="str">
        <f>IF(B67="","",IFERROR(INDEX(Measures!$C$6:$C$65,MATCH(B67,Measures!$A$6:$A$65,0)),"Not found"))</f>
        <v/>
      </c>
      <c r="D67" s="15" t="str">
        <f>IF(B67="","",IFERROR(INDEX(Measures!$F$6:$F$65,MATCH(B67,Measures!$A$6:$A$65,0)),""))</f>
        <v/>
      </c>
      <c r="E67" s="20"/>
      <c r="F67" s="20"/>
      <c r="G67" s="70"/>
      <c r="H67" s="70"/>
      <c r="I67" s="20"/>
      <c r="J67" s="70"/>
      <c r="K67" s="50" t="str">
        <f>IF(OR(B67="",I67&lt;&gt;"Open",H67=""),"",MAX(0,Setup!$B$8-H67))</f>
        <v/>
      </c>
      <c r="L67" s="29" t="str">
        <f t="shared" si="1"/>
        <v/>
      </c>
    </row>
    <row r="68" spans="1:12" x14ac:dyDescent="0.45">
      <c r="A68" s="20"/>
      <c r="B68" s="20"/>
      <c r="C68" s="15" t="str">
        <f>IF(B68="","",IFERROR(INDEX(Measures!$C$6:$C$65,MATCH(B68,Measures!$A$6:$A$65,0)),"Not found"))</f>
        <v/>
      </c>
      <c r="D68" s="15" t="str">
        <f>IF(B68="","",IFERROR(INDEX(Measures!$F$6:$F$65,MATCH(B68,Measures!$A$6:$A$65,0)),""))</f>
        <v/>
      </c>
      <c r="E68" s="20"/>
      <c r="F68" s="20"/>
      <c r="G68" s="70"/>
      <c r="H68" s="70"/>
      <c r="I68" s="20"/>
      <c r="J68" s="70"/>
      <c r="K68" s="50" t="str">
        <f>IF(OR(B68="",I68&lt;&gt;"Open",H68=""),"",MAX(0,Setup!$B$8-H68))</f>
        <v/>
      </c>
      <c r="L68" s="29" t="str">
        <f t="shared" si="1"/>
        <v/>
      </c>
    </row>
    <row r="69" spans="1:12" x14ac:dyDescent="0.45">
      <c r="A69" s="20"/>
      <c r="B69" s="20"/>
      <c r="C69" s="15" t="str">
        <f>IF(B69="","",IFERROR(INDEX(Measures!$C$6:$C$65,MATCH(B69,Measures!$A$6:$A$65,0)),"Not found"))</f>
        <v/>
      </c>
      <c r="D69" s="15" t="str">
        <f>IF(B69="","",IFERROR(INDEX(Measures!$F$6:$F$65,MATCH(B69,Measures!$A$6:$A$65,0)),""))</f>
        <v/>
      </c>
      <c r="E69" s="20"/>
      <c r="F69" s="20"/>
      <c r="G69" s="70"/>
      <c r="H69" s="70"/>
      <c r="I69" s="20"/>
      <c r="J69" s="70"/>
      <c r="K69" s="50" t="str">
        <f>IF(OR(B69="",I69&lt;&gt;"Open",H69=""),"",MAX(0,Setup!$B$8-H69))</f>
        <v/>
      </c>
      <c r="L69" s="29" t="str">
        <f t="shared" si="1"/>
        <v/>
      </c>
    </row>
    <row r="70" spans="1:12" x14ac:dyDescent="0.45">
      <c r="A70" s="20"/>
      <c r="B70" s="20"/>
      <c r="C70" s="15" t="str">
        <f>IF(B70="","",IFERROR(INDEX(Measures!$C$6:$C$65,MATCH(B70,Measures!$A$6:$A$65,0)),"Not found"))</f>
        <v/>
      </c>
      <c r="D70" s="15" t="str">
        <f>IF(B70="","",IFERROR(INDEX(Measures!$F$6:$F$65,MATCH(B70,Measures!$A$6:$A$65,0)),""))</f>
        <v/>
      </c>
      <c r="E70" s="20"/>
      <c r="F70" s="20"/>
      <c r="G70" s="70"/>
      <c r="H70" s="70"/>
      <c r="I70" s="20"/>
      <c r="J70" s="70"/>
      <c r="K70" s="50" t="str">
        <f>IF(OR(B70="",I70&lt;&gt;"Open",H70=""),"",MAX(0,Setup!$B$8-H70))</f>
        <v/>
      </c>
      <c r="L70" s="29" t="str">
        <f t="shared" ref="L70:L101" si="2">IF(B70="","",IF(I70="Done","Closed",IF(K70="","",IF(K70&gt;0,"Overdue","On time"))))</f>
        <v/>
      </c>
    </row>
    <row r="71" spans="1:12" x14ac:dyDescent="0.45">
      <c r="A71" s="20"/>
      <c r="B71" s="20"/>
      <c r="C71" s="15" t="str">
        <f>IF(B71="","",IFERROR(INDEX(Measures!$C$6:$C$65,MATCH(B71,Measures!$A$6:$A$65,0)),"Not found"))</f>
        <v/>
      </c>
      <c r="D71" s="15" t="str">
        <f>IF(B71="","",IFERROR(INDEX(Measures!$F$6:$F$65,MATCH(B71,Measures!$A$6:$A$65,0)),""))</f>
        <v/>
      </c>
      <c r="E71" s="20"/>
      <c r="F71" s="20"/>
      <c r="G71" s="70"/>
      <c r="H71" s="70"/>
      <c r="I71" s="20"/>
      <c r="J71" s="70"/>
      <c r="K71" s="50" t="str">
        <f>IF(OR(B71="",I71&lt;&gt;"Open",H71=""),"",MAX(0,Setup!$B$8-H71))</f>
        <v/>
      </c>
      <c r="L71" s="29" t="str">
        <f t="shared" si="2"/>
        <v/>
      </c>
    </row>
    <row r="72" spans="1:12" x14ac:dyDescent="0.45">
      <c r="A72" s="20"/>
      <c r="B72" s="20"/>
      <c r="C72" s="15" t="str">
        <f>IF(B72="","",IFERROR(INDEX(Measures!$C$6:$C$65,MATCH(B72,Measures!$A$6:$A$65,0)),"Not found"))</f>
        <v/>
      </c>
      <c r="D72" s="15" t="str">
        <f>IF(B72="","",IFERROR(INDEX(Measures!$F$6:$F$65,MATCH(B72,Measures!$A$6:$A$65,0)),""))</f>
        <v/>
      </c>
      <c r="E72" s="20"/>
      <c r="F72" s="20"/>
      <c r="G72" s="70"/>
      <c r="H72" s="70"/>
      <c r="I72" s="20"/>
      <c r="J72" s="70"/>
      <c r="K72" s="50" t="str">
        <f>IF(OR(B72="",I72&lt;&gt;"Open",H72=""),"",MAX(0,Setup!$B$8-H72))</f>
        <v/>
      </c>
      <c r="L72" s="29" t="str">
        <f t="shared" si="2"/>
        <v/>
      </c>
    </row>
    <row r="73" spans="1:12" x14ac:dyDescent="0.45">
      <c r="A73" s="20"/>
      <c r="B73" s="20"/>
      <c r="C73" s="15" t="str">
        <f>IF(B73="","",IFERROR(INDEX(Measures!$C$6:$C$65,MATCH(B73,Measures!$A$6:$A$65,0)),"Not found"))</f>
        <v/>
      </c>
      <c r="D73" s="15" t="str">
        <f>IF(B73="","",IFERROR(INDEX(Measures!$F$6:$F$65,MATCH(B73,Measures!$A$6:$A$65,0)),""))</f>
        <v/>
      </c>
      <c r="E73" s="20"/>
      <c r="F73" s="20"/>
      <c r="G73" s="70"/>
      <c r="H73" s="70"/>
      <c r="I73" s="20"/>
      <c r="J73" s="70"/>
      <c r="K73" s="50" t="str">
        <f>IF(OR(B73="",I73&lt;&gt;"Open",H73=""),"",MAX(0,Setup!$B$8-H73))</f>
        <v/>
      </c>
      <c r="L73" s="29" t="str">
        <f t="shared" si="2"/>
        <v/>
      </c>
    </row>
    <row r="74" spans="1:12" x14ac:dyDescent="0.45">
      <c r="A74" s="20"/>
      <c r="B74" s="20"/>
      <c r="C74" s="15" t="str">
        <f>IF(B74="","",IFERROR(INDEX(Measures!$C$6:$C$65,MATCH(B74,Measures!$A$6:$A$65,0)),"Not found"))</f>
        <v/>
      </c>
      <c r="D74" s="15" t="str">
        <f>IF(B74="","",IFERROR(INDEX(Measures!$F$6:$F$65,MATCH(B74,Measures!$A$6:$A$65,0)),""))</f>
        <v/>
      </c>
      <c r="E74" s="20"/>
      <c r="F74" s="20"/>
      <c r="G74" s="70"/>
      <c r="H74" s="70"/>
      <c r="I74" s="20"/>
      <c r="J74" s="70"/>
      <c r="K74" s="50" t="str">
        <f>IF(OR(B74="",I74&lt;&gt;"Open",H74=""),"",MAX(0,Setup!$B$8-H74))</f>
        <v/>
      </c>
      <c r="L74" s="29" t="str">
        <f t="shared" si="2"/>
        <v/>
      </c>
    </row>
    <row r="75" spans="1:12" x14ac:dyDescent="0.45">
      <c r="A75" s="20"/>
      <c r="B75" s="20"/>
      <c r="C75" s="15" t="str">
        <f>IF(B75="","",IFERROR(INDEX(Measures!$C$6:$C$65,MATCH(B75,Measures!$A$6:$A$65,0)),"Not found"))</f>
        <v/>
      </c>
      <c r="D75" s="15" t="str">
        <f>IF(B75="","",IFERROR(INDEX(Measures!$F$6:$F$65,MATCH(B75,Measures!$A$6:$A$65,0)),""))</f>
        <v/>
      </c>
      <c r="E75" s="20"/>
      <c r="F75" s="20"/>
      <c r="G75" s="70"/>
      <c r="H75" s="70"/>
      <c r="I75" s="20"/>
      <c r="J75" s="70"/>
      <c r="K75" s="50" t="str">
        <f>IF(OR(B75="",I75&lt;&gt;"Open",H75=""),"",MAX(0,Setup!$B$8-H75))</f>
        <v/>
      </c>
      <c r="L75" s="29" t="str">
        <f t="shared" si="2"/>
        <v/>
      </c>
    </row>
    <row r="76" spans="1:12" x14ac:dyDescent="0.45">
      <c r="A76" s="20"/>
      <c r="B76" s="20"/>
      <c r="C76" s="15" t="str">
        <f>IF(B76="","",IFERROR(INDEX(Measures!$C$6:$C$65,MATCH(B76,Measures!$A$6:$A$65,0)),"Not found"))</f>
        <v/>
      </c>
      <c r="D76" s="15" t="str">
        <f>IF(B76="","",IFERROR(INDEX(Measures!$F$6:$F$65,MATCH(B76,Measures!$A$6:$A$65,0)),""))</f>
        <v/>
      </c>
      <c r="E76" s="20"/>
      <c r="F76" s="20"/>
      <c r="G76" s="70"/>
      <c r="H76" s="70"/>
      <c r="I76" s="20"/>
      <c r="J76" s="70"/>
      <c r="K76" s="50" t="str">
        <f>IF(OR(B76="",I76&lt;&gt;"Open",H76=""),"",MAX(0,Setup!$B$8-H76))</f>
        <v/>
      </c>
      <c r="L76" s="29" t="str">
        <f t="shared" si="2"/>
        <v/>
      </c>
    </row>
    <row r="77" spans="1:12" x14ac:dyDescent="0.45">
      <c r="A77" s="20"/>
      <c r="B77" s="20"/>
      <c r="C77" s="15" t="str">
        <f>IF(B77="","",IFERROR(INDEX(Measures!$C$6:$C$65,MATCH(B77,Measures!$A$6:$A$65,0)),"Not found"))</f>
        <v/>
      </c>
      <c r="D77" s="15" t="str">
        <f>IF(B77="","",IFERROR(INDEX(Measures!$F$6:$F$65,MATCH(B77,Measures!$A$6:$A$65,0)),""))</f>
        <v/>
      </c>
      <c r="E77" s="20"/>
      <c r="F77" s="20"/>
      <c r="G77" s="70"/>
      <c r="H77" s="70"/>
      <c r="I77" s="20"/>
      <c r="J77" s="70"/>
      <c r="K77" s="50" t="str">
        <f>IF(OR(B77="",I77&lt;&gt;"Open",H77=""),"",MAX(0,Setup!$B$8-H77))</f>
        <v/>
      </c>
      <c r="L77" s="29" t="str">
        <f t="shared" si="2"/>
        <v/>
      </c>
    </row>
    <row r="78" spans="1:12" x14ac:dyDescent="0.45">
      <c r="A78" s="20"/>
      <c r="B78" s="20"/>
      <c r="C78" s="15" t="str">
        <f>IF(B78="","",IFERROR(INDEX(Measures!$C$6:$C$65,MATCH(B78,Measures!$A$6:$A$65,0)),"Not found"))</f>
        <v/>
      </c>
      <c r="D78" s="15" t="str">
        <f>IF(B78="","",IFERROR(INDEX(Measures!$F$6:$F$65,MATCH(B78,Measures!$A$6:$A$65,0)),""))</f>
        <v/>
      </c>
      <c r="E78" s="20"/>
      <c r="F78" s="20"/>
      <c r="G78" s="70"/>
      <c r="H78" s="70"/>
      <c r="I78" s="20"/>
      <c r="J78" s="70"/>
      <c r="K78" s="50" t="str">
        <f>IF(OR(B78="",I78&lt;&gt;"Open",H78=""),"",MAX(0,Setup!$B$8-H78))</f>
        <v/>
      </c>
      <c r="L78" s="29" t="str">
        <f t="shared" si="2"/>
        <v/>
      </c>
    </row>
    <row r="79" spans="1:12" x14ac:dyDescent="0.45">
      <c r="A79" s="20"/>
      <c r="B79" s="20"/>
      <c r="C79" s="15" t="str">
        <f>IF(B79="","",IFERROR(INDEX(Measures!$C$6:$C$65,MATCH(B79,Measures!$A$6:$A$65,0)),"Not found"))</f>
        <v/>
      </c>
      <c r="D79" s="15" t="str">
        <f>IF(B79="","",IFERROR(INDEX(Measures!$F$6:$F$65,MATCH(B79,Measures!$A$6:$A$65,0)),""))</f>
        <v/>
      </c>
      <c r="E79" s="20"/>
      <c r="F79" s="20"/>
      <c r="G79" s="70"/>
      <c r="H79" s="70"/>
      <c r="I79" s="20"/>
      <c r="J79" s="70"/>
      <c r="K79" s="50" t="str">
        <f>IF(OR(B79="",I79&lt;&gt;"Open",H79=""),"",MAX(0,Setup!$B$8-H79))</f>
        <v/>
      </c>
      <c r="L79" s="29" t="str">
        <f t="shared" si="2"/>
        <v/>
      </c>
    </row>
    <row r="80" spans="1:12" x14ac:dyDescent="0.45">
      <c r="A80" s="20"/>
      <c r="B80" s="20"/>
      <c r="C80" s="15" t="str">
        <f>IF(B80="","",IFERROR(INDEX(Measures!$C$6:$C$65,MATCH(B80,Measures!$A$6:$A$65,0)),"Not found"))</f>
        <v/>
      </c>
      <c r="D80" s="15" t="str">
        <f>IF(B80="","",IFERROR(INDEX(Measures!$F$6:$F$65,MATCH(B80,Measures!$A$6:$A$65,0)),""))</f>
        <v/>
      </c>
      <c r="E80" s="20"/>
      <c r="F80" s="20"/>
      <c r="G80" s="70"/>
      <c r="H80" s="70"/>
      <c r="I80" s="20"/>
      <c r="J80" s="70"/>
      <c r="K80" s="50" t="str">
        <f>IF(OR(B80="",I80&lt;&gt;"Open",H80=""),"",MAX(0,Setup!$B$8-H80))</f>
        <v/>
      </c>
      <c r="L80" s="29" t="str">
        <f t="shared" si="2"/>
        <v/>
      </c>
    </row>
    <row r="81" spans="1:12" x14ac:dyDescent="0.45">
      <c r="A81" s="20"/>
      <c r="B81" s="20"/>
      <c r="C81" s="15" t="str">
        <f>IF(B81="","",IFERROR(INDEX(Measures!$C$6:$C$65,MATCH(B81,Measures!$A$6:$A$65,0)),"Not found"))</f>
        <v/>
      </c>
      <c r="D81" s="15" t="str">
        <f>IF(B81="","",IFERROR(INDEX(Measures!$F$6:$F$65,MATCH(B81,Measures!$A$6:$A$65,0)),""))</f>
        <v/>
      </c>
      <c r="E81" s="20"/>
      <c r="F81" s="20"/>
      <c r="G81" s="70"/>
      <c r="H81" s="70"/>
      <c r="I81" s="20"/>
      <c r="J81" s="70"/>
      <c r="K81" s="50" t="str">
        <f>IF(OR(B81="",I81&lt;&gt;"Open",H81=""),"",MAX(0,Setup!$B$8-H81))</f>
        <v/>
      </c>
      <c r="L81" s="29" t="str">
        <f t="shared" si="2"/>
        <v/>
      </c>
    </row>
    <row r="82" spans="1:12" x14ac:dyDescent="0.45">
      <c r="A82" s="20"/>
      <c r="B82" s="20"/>
      <c r="C82" s="15" t="str">
        <f>IF(B82="","",IFERROR(INDEX(Measures!$C$6:$C$65,MATCH(B82,Measures!$A$6:$A$65,0)),"Not found"))</f>
        <v/>
      </c>
      <c r="D82" s="15" t="str">
        <f>IF(B82="","",IFERROR(INDEX(Measures!$F$6:$F$65,MATCH(B82,Measures!$A$6:$A$65,0)),""))</f>
        <v/>
      </c>
      <c r="E82" s="20"/>
      <c r="F82" s="20"/>
      <c r="G82" s="70"/>
      <c r="H82" s="70"/>
      <c r="I82" s="20"/>
      <c r="J82" s="70"/>
      <c r="K82" s="50" t="str">
        <f>IF(OR(B82="",I82&lt;&gt;"Open",H82=""),"",MAX(0,Setup!$B$8-H82))</f>
        <v/>
      </c>
      <c r="L82" s="29" t="str">
        <f t="shared" si="2"/>
        <v/>
      </c>
    </row>
    <row r="83" spans="1:12" x14ac:dyDescent="0.45">
      <c r="A83" s="20"/>
      <c r="B83" s="20"/>
      <c r="C83" s="15" t="str">
        <f>IF(B83="","",IFERROR(INDEX(Measures!$C$6:$C$65,MATCH(B83,Measures!$A$6:$A$65,0)),"Not found"))</f>
        <v/>
      </c>
      <c r="D83" s="15" t="str">
        <f>IF(B83="","",IFERROR(INDEX(Measures!$F$6:$F$65,MATCH(B83,Measures!$A$6:$A$65,0)),""))</f>
        <v/>
      </c>
      <c r="E83" s="20"/>
      <c r="F83" s="20"/>
      <c r="G83" s="70"/>
      <c r="H83" s="70"/>
      <c r="I83" s="20"/>
      <c r="J83" s="70"/>
      <c r="K83" s="50" t="str">
        <f>IF(OR(B83="",I83&lt;&gt;"Open",H83=""),"",MAX(0,Setup!$B$8-H83))</f>
        <v/>
      </c>
      <c r="L83" s="29" t="str">
        <f t="shared" si="2"/>
        <v/>
      </c>
    </row>
    <row r="84" spans="1:12" x14ac:dyDescent="0.45">
      <c r="A84" s="20"/>
      <c r="B84" s="20"/>
      <c r="C84" s="15" t="str">
        <f>IF(B84="","",IFERROR(INDEX(Measures!$C$6:$C$65,MATCH(B84,Measures!$A$6:$A$65,0)),"Not found"))</f>
        <v/>
      </c>
      <c r="D84" s="15" t="str">
        <f>IF(B84="","",IFERROR(INDEX(Measures!$F$6:$F$65,MATCH(B84,Measures!$A$6:$A$65,0)),""))</f>
        <v/>
      </c>
      <c r="E84" s="20"/>
      <c r="F84" s="20"/>
      <c r="G84" s="70"/>
      <c r="H84" s="70"/>
      <c r="I84" s="20"/>
      <c r="J84" s="70"/>
      <c r="K84" s="50" t="str">
        <f>IF(OR(B84="",I84&lt;&gt;"Open",H84=""),"",MAX(0,Setup!$B$8-H84))</f>
        <v/>
      </c>
      <c r="L84" s="29" t="str">
        <f t="shared" si="2"/>
        <v/>
      </c>
    </row>
    <row r="85" spans="1:12" x14ac:dyDescent="0.45">
      <c r="A85" s="20"/>
      <c r="B85" s="20"/>
      <c r="C85" s="15" t="str">
        <f>IF(B85="","",IFERROR(INDEX(Measures!$C$6:$C$65,MATCH(B85,Measures!$A$6:$A$65,0)),"Not found"))</f>
        <v/>
      </c>
      <c r="D85" s="15" t="str">
        <f>IF(B85="","",IFERROR(INDEX(Measures!$F$6:$F$65,MATCH(B85,Measures!$A$6:$A$65,0)),""))</f>
        <v/>
      </c>
      <c r="E85" s="20"/>
      <c r="F85" s="20"/>
      <c r="G85" s="70"/>
      <c r="H85" s="70"/>
      <c r="I85" s="20"/>
      <c r="J85" s="70"/>
      <c r="K85" s="50" t="str">
        <f>IF(OR(B85="",I85&lt;&gt;"Open",H85=""),"",MAX(0,Setup!$B$8-H85))</f>
        <v/>
      </c>
      <c r="L85" s="29" t="str">
        <f t="shared" si="2"/>
        <v/>
      </c>
    </row>
    <row r="86" spans="1:12" x14ac:dyDescent="0.45">
      <c r="A86" s="20"/>
      <c r="B86" s="20"/>
      <c r="C86" s="15" t="str">
        <f>IF(B86="","",IFERROR(INDEX(Measures!$C$6:$C$65,MATCH(B86,Measures!$A$6:$A$65,0)),"Not found"))</f>
        <v/>
      </c>
      <c r="D86" s="15" t="str">
        <f>IF(B86="","",IFERROR(INDEX(Measures!$F$6:$F$65,MATCH(B86,Measures!$A$6:$A$65,0)),""))</f>
        <v/>
      </c>
      <c r="E86" s="20"/>
      <c r="F86" s="20"/>
      <c r="G86" s="70"/>
      <c r="H86" s="70"/>
      <c r="I86" s="20"/>
      <c r="J86" s="70"/>
      <c r="K86" s="50" t="str">
        <f>IF(OR(B86="",I86&lt;&gt;"Open",H86=""),"",MAX(0,Setup!$B$8-H86))</f>
        <v/>
      </c>
      <c r="L86" s="29" t="str">
        <f t="shared" si="2"/>
        <v/>
      </c>
    </row>
    <row r="87" spans="1:12" x14ac:dyDescent="0.45">
      <c r="A87" s="20"/>
      <c r="B87" s="20"/>
      <c r="C87" s="15" t="str">
        <f>IF(B87="","",IFERROR(INDEX(Measures!$C$6:$C$65,MATCH(B87,Measures!$A$6:$A$65,0)),"Not found"))</f>
        <v/>
      </c>
      <c r="D87" s="15" t="str">
        <f>IF(B87="","",IFERROR(INDEX(Measures!$F$6:$F$65,MATCH(B87,Measures!$A$6:$A$65,0)),""))</f>
        <v/>
      </c>
      <c r="E87" s="20"/>
      <c r="F87" s="20"/>
      <c r="G87" s="70"/>
      <c r="H87" s="70"/>
      <c r="I87" s="20"/>
      <c r="J87" s="70"/>
      <c r="K87" s="50" t="str">
        <f>IF(OR(B87="",I87&lt;&gt;"Open",H87=""),"",MAX(0,Setup!$B$8-H87))</f>
        <v/>
      </c>
      <c r="L87" s="29" t="str">
        <f t="shared" si="2"/>
        <v/>
      </c>
    </row>
    <row r="88" spans="1:12" x14ac:dyDescent="0.45">
      <c r="A88" s="20"/>
      <c r="B88" s="20"/>
      <c r="C88" s="15" t="str">
        <f>IF(B88="","",IFERROR(INDEX(Measures!$C$6:$C$65,MATCH(B88,Measures!$A$6:$A$65,0)),"Not found"))</f>
        <v/>
      </c>
      <c r="D88" s="15" t="str">
        <f>IF(B88="","",IFERROR(INDEX(Measures!$F$6:$F$65,MATCH(B88,Measures!$A$6:$A$65,0)),""))</f>
        <v/>
      </c>
      <c r="E88" s="20"/>
      <c r="F88" s="20"/>
      <c r="G88" s="70"/>
      <c r="H88" s="70"/>
      <c r="I88" s="20"/>
      <c r="J88" s="70"/>
      <c r="K88" s="50" t="str">
        <f>IF(OR(B88="",I88&lt;&gt;"Open",H88=""),"",MAX(0,Setup!$B$8-H88))</f>
        <v/>
      </c>
      <c r="L88" s="29" t="str">
        <f t="shared" si="2"/>
        <v/>
      </c>
    </row>
    <row r="89" spans="1:12" x14ac:dyDescent="0.45">
      <c r="A89" s="20"/>
      <c r="B89" s="20"/>
      <c r="C89" s="15" t="str">
        <f>IF(B89="","",IFERROR(INDEX(Measures!$C$6:$C$65,MATCH(B89,Measures!$A$6:$A$65,0)),"Not found"))</f>
        <v/>
      </c>
      <c r="D89" s="15" t="str">
        <f>IF(B89="","",IFERROR(INDEX(Measures!$F$6:$F$65,MATCH(B89,Measures!$A$6:$A$65,0)),""))</f>
        <v/>
      </c>
      <c r="E89" s="20"/>
      <c r="F89" s="20"/>
      <c r="G89" s="70"/>
      <c r="H89" s="70"/>
      <c r="I89" s="20"/>
      <c r="J89" s="70"/>
      <c r="K89" s="50" t="str">
        <f>IF(OR(B89="",I89&lt;&gt;"Open",H89=""),"",MAX(0,Setup!$B$8-H89))</f>
        <v/>
      </c>
      <c r="L89" s="29" t="str">
        <f t="shared" si="2"/>
        <v/>
      </c>
    </row>
    <row r="90" spans="1:12" x14ac:dyDescent="0.45">
      <c r="A90" s="20"/>
      <c r="B90" s="20"/>
      <c r="C90" s="15" t="str">
        <f>IF(B90="","",IFERROR(INDEX(Measures!$C$6:$C$65,MATCH(B90,Measures!$A$6:$A$65,0)),"Not found"))</f>
        <v/>
      </c>
      <c r="D90" s="15" t="str">
        <f>IF(B90="","",IFERROR(INDEX(Measures!$F$6:$F$65,MATCH(B90,Measures!$A$6:$A$65,0)),""))</f>
        <v/>
      </c>
      <c r="E90" s="20"/>
      <c r="F90" s="20"/>
      <c r="G90" s="70"/>
      <c r="H90" s="70"/>
      <c r="I90" s="20"/>
      <c r="J90" s="70"/>
      <c r="K90" s="50" t="str">
        <f>IF(OR(B90="",I90&lt;&gt;"Open",H90=""),"",MAX(0,Setup!$B$8-H90))</f>
        <v/>
      </c>
      <c r="L90" s="29" t="str">
        <f t="shared" si="2"/>
        <v/>
      </c>
    </row>
    <row r="91" spans="1:12" x14ac:dyDescent="0.45">
      <c r="A91" s="20"/>
      <c r="B91" s="20"/>
      <c r="C91" s="15" t="str">
        <f>IF(B91="","",IFERROR(INDEX(Measures!$C$6:$C$65,MATCH(B91,Measures!$A$6:$A$65,0)),"Not found"))</f>
        <v/>
      </c>
      <c r="D91" s="15" t="str">
        <f>IF(B91="","",IFERROR(INDEX(Measures!$F$6:$F$65,MATCH(B91,Measures!$A$6:$A$65,0)),""))</f>
        <v/>
      </c>
      <c r="E91" s="20"/>
      <c r="F91" s="20"/>
      <c r="G91" s="70"/>
      <c r="H91" s="70"/>
      <c r="I91" s="20"/>
      <c r="J91" s="70"/>
      <c r="K91" s="50" t="str">
        <f>IF(OR(B91="",I91&lt;&gt;"Open",H91=""),"",MAX(0,Setup!$B$8-H91))</f>
        <v/>
      </c>
      <c r="L91" s="29" t="str">
        <f t="shared" si="2"/>
        <v/>
      </c>
    </row>
    <row r="92" spans="1:12" x14ac:dyDescent="0.45">
      <c r="A92" s="20"/>
      <c r="B92" s="20"/>
      <c r="C92" s="15" t="str">
        <f>IF(B92="","",IFERROR(INDEX(Measures!$C$6:$C$65,MATCH(B92,Measures!$A$6:$A$65,0)),"Not found"))</f>
        <v/>
      </c>
      <c r="D92" s="15" t="str">
        <f>IF(B92="","",IFERROR(INDEX(Measures!$F$6:$F$65,MATCH(B92,Measures!$A$6:$A$65,0)),""))</f>
        <v/>
      </c>
      <c r="E92" s="20"/>
      <c r="F92" s="20"/>
      <c r="G92" s="70"/>
      <c r="H92" s="70"/>
      <c r="I92" s="20"/>
      <c r="J92" s="70"/>
      <c r="K92" s="50" t="str">
        <f>IF(OR(B92="",I92&lt;&gt;"Open",H92=""),"",MAX(0,Setup!$B$8-H92))</f>
        <v/>
      </c>
      <c r="L92" s="29" t="str">
        <f t="shared" si="2"/>
        <v/>
      </c>
    </row>
    <row r="93" spans="1:12" x14ac:dyDescent="0.45">
      <c r="A93" s="20"/>
      <c r="B93" s="20"/>
      <c r="C93" s="15" t="str">
        <f>IF(B93="","",IFERROR(INDEX(Measures!$C$6:$C$65,MATCH(B93,Measures!$A$6:$A$65,0)),"Not found"))</f>
        <v/>
      </c>
      <c r="D93" s="15" t="str">
        <f>IF(B93="","",IFERROR(INDEX(Measures!$F$6:$F$65,MATCH(B93,Measures!$A$6:$A$65,0)),""))</f>
        <v/>
      </c>
      <c r="E93" s="20"/>
      <c r="F93" s="20"/>
      <c r="G93" s="70"/>
      <c r="H93" s="70"/>
      <c r="I93" s="20"/>
      <c r="J93" s="70"/>
      <c r="K93" s="50" t="str">
        <f>IF(OR(B93="",I93&lt;&gt;"Open",H93=""),"",MAX(0,Setup!$B$8-H93))</f>
        <v/>
      </c>
      <c r="L93" s="29" t="str">
        <f t="shared" si="2"/>
        <v/>
      </c>
    </row>
    <row r="94" spans="1:12" x14ac:dyDescent="0.45">
      <c r="A94" s="20"/>
      <c r="B94" s="20"/>
      <c r="C94" s="15" t="str">
        <f>IF(B94="","",IFERROR(INDEX(Measures!$C$6:$C$65,MATCH(B94,Measures!$A$6:$A$65,0)),"Not found"))</f>
        <v/>
      </c>
      <c r="D94" s="15" t="str">
        <f>IF(B94="","",IFERROR(INDEX(Measures!$F$6:$F$65,MATCH(B94,Measures!$A$6:$A$65,0)),""))</f>
        <v/>
      </c>
      <c r="E94" s="20"/>
      <c r="F94" s="20"/>
      <c r="G94" s="70"/>
      <c r="H94" s="70"/>
      <c r="I94" s="20"/>
      <c r="J94" s="70"/>
      <c r="K94" s="50" t="str">
        <f>IF(OR(B94="",I94&lt;&gt;"Open",H94=""),"",MAX(0,Setup!$B$8-H94))</f>
        <v/>
      </c>
      <c r="L94" s="29" t="str">
        <f t="shared" si="2"/>
        <v/>
      </c>
    </row>
    <row r="95" spans="1:12" x14ac:dyDescent="0.45">
      <c r="A95" s="20"/>
      <c r="B95" s="20"/>
      <c r="C95" s="15" t="str">
        <f>IF(B95="","",IFERROR(INDEX(Measures!$C$6:$C$65,MATCH(B95,Measures!$A$6:$A$65,0)),"Not found"))</f>
        <v/>
      </c>
      <c r="D95" s="15" t="str">
        <f>IF(B95="","",IFERROR(INDEX(Measures!$F$6:$F$65,MATCH(B95,Measures!$A$6:$A$65,0)),""))</f>
        <v/>
      </c>
      <c r="E95" s="20"/>
      <c r="F95" s="20"/>
      <c r="G95" s="70"/>
      <c r="H95" s="70"/>
      <c r="I95" s="20"/>
      <c r="J95" s="70"/>
      <c r="K95" s="50" t="str">
        <f>IF(OR(B95="",I95&lt;&gt;"Open",H95=""),"",MAX(0,Setup!$B$8-H95))</f>
        <v/>
      </c>
      <c r="L95" s="29" t="str">
        <f t="shared" si="2"/>
        <v/>
      </c>
    </row>
    <row r="96" spans="1:12" x14ac:dyDescent="0.45">
      <c r="A96" s="20"/>
      <c r="B96" s="20"/>
      <c r="C96" s="15" t="str">
        <f>IF(B96="","",IFERROR(INDEX(Measures!$C$6:$C$65,MATCH(B96,Measures!$A$6:$A$65,0)),"Not found"))</f>
        <v/>
      </c>
      <c r="D96" s="15" t="str">
        <f>IF(B96="","",IFERROR(INDEX(Measures!$F$6:$F$65,MATCH(B96,Measures!$A$6:$A$65,0)),""))</f>
        <v/>
      </c>
      <c r="E96" s="20"/>
      <c r="F96" s="20"/>
      <c r="G96" s="70"/>
      <c r="H96" s="70"/>
      <c r="I96" s="20"/>
      <c r="J96" s="70"/>
      <c r="K96" s="50" t="str">
        <f>IF(OR(B96="",I96&lt;&gt;"Open",H96=""),"",MAX(0,Setup!$B$8-H96))</f>
        <v/>
      </c>
      <c r="L96" s="29" t="str">
        <f t="shared" si="2"/>
        <v/>
      </c>
    </row>
    <row r="97" spans="1:12" x14ac:dyDescent="0.45">
      <c r="A97" s="20"/>
      <c r="B97" s="20"/>
      <c r="C97" s="15" t="str">
        <f>IF(B97="","",IFERROR(INDEX(Measures!$C$6:$C$65,MATCH(B97,Measures!$A$6:$A$65,0)),"Not found"))</f>
        <v/>
      </c>
      <c r="D97" s="15" t="str">
        <f>IF(B97="","",IFERROR(INDEX(Measures!$F$6:$F$65,MATCH(B97,Measures!$A$6:$A$65,0)),""))</f>
        <v/>
      </c>
      <c r="E97" s="20"/>
      <c r="F97" s="20"/>
      <c r="G97" s="70"/>
      <c r="H97" s="70"/>
      <c r="I97" s="20"/>
      <c r="J97" s="70"/>
      <c r="K97" s="50" t="str">
        <f>IF(OR(B97="",I97&lt;&gt;"Open",H97=""),"",MAX(0,Setup!$B$8-H97))</f>
        <v/>
      </c>
      <c r="L97" s="29" t="str">
        <f t="shared" si="2"/>
        <v/>
      </c>
    </row>
    <row r="98" spans="1:12" x14ac:dyDescent="0.45">
      <c r="A98" s="20"/>
      <c r="B98" s="20"/>
      <c r="C98" s="15" t="str">
        <f>IF(B98="","",IFERROR(INDEX(Measures!$C$6:$C$65,MATCH(B98,Measures!$A$6:$A$65,0)),"Not found"))</f>
        <v/>
      </c>
      <c r="D98" s="15" t="str">
        <f>IF(B98="","",IFERROR(INDEX(Measures!$F$6:$F$65,MATCH(B98,Measures!$A$6:$A$65,0)),""))</f>
        <v/>
      </c>
      <c r="E98" s="20"/>
      <c r="F98" s="20"/>
      <c r="G98" s="70"/>
      <c r="H98" s="70"/>
      <c r="I98" s="20"/>
      <c r="J98" s="70"/>
      <c r="K98" s="50" t="str">
        <f>IF(OR(B98="",I98&lt;&gt;"Open",H98=""),"",MAX(0,Setup!$B$8-H98))</f>
        <v/>
      </c>
      <c r="L98" s="29" t="str">
        <f t="shared" si="2"/>
        <v/>
      </c>
    </row>
    <row r="99" spans="1:12" x14ac:dyDescent="0.45">
      <c r="A99" s="20"/>
      <c r="B99" s="20"/>
      <c r="C99" s="15" t="str">
        <f>IF(B99="","",IFERROR(INDEX(Measures!$C$6:$C$65,MATCH(B99,Measures!$A$6:$A$65,0)),"Not found"))</f>
        <v/>
      </c>
      <c r="D99" s="15" t="str">
        <f>IF(B99="","",IFERROR(INDEX(Measures!$F$6:$F$65,MATCH(B99,Measures!$A$6:$A$65,0)),""))</f>
        <v/>
      </c>
      <c r="E99" s="20"/>
      <c r="F99" s="20"/>
      <c r="G99" s="70"/>
      <c r="H99" s="70"/>
      <c r="I99" s="20"/>
      <c r="J99" s="70"/>
      <c r="K99" s="50" t="str">
        <f>IF(OR(B99="",I99&lt;&gt;"Open",H99=""),"",MAX(0,Setup!$B$8-H99))</f>
        <v/>
      </c>
      <c r="L99" s="29" t="str">
        <f t="shared" si="2"/>
        <v/>
      </c>
    </row>
    <row r="100" spans="1:12" x14ac:dyDescent="0.45">
      <c r="A100" s="20"/>
      <c r="B100" s="20"/>
      <c r="C100" s="15" t="str">
        <f>IF(B100="","",IFERROR(INDEX(Measures!$C$6:$C$65,MATCH(B100,Measures!$A$6:$A$65,0)),"Not found"))</f>
        <v/>
      </c>
      <c r="D100" s="15" t="str">
        <f>IF(B100="","",IFERROR(INDEX(Measures!$F$6:$F$65,MATCH(B100,Measures!$A$6:$A$65,0)),""))</f>
        <v/>
      </c>
      <c r="E100" s="20"/>
      <c r="F100" s="20"/>
      <c r="G100" s="70"/>
      <c r="H100" s="70"/>
      <c r="I100" s="20"/>
      <c r="J100" s="70"/>
      <c r="K100" s="50" t="str">
        <f>IF(OR(B100="",I100&lt;&gt;"Open",H100=""),"",MAX(0,Setup!$B$8-H100))</f>
        <v/>
      </c>
      <c r="L100" s="29" t="str">
        <f t="shared" si="2"/>
        <v/>
      </c>
    </row>
    <row r="101" spans="1:12" x14ac:dyDescent="0.45">
      <c r="A101" s="20"/>
      <c r="B101" s="20"/>
      <c r="C101" s="15" t="str">
        <f>IF(B101="","",IFERROR(INDEX(Measures!$C$6:$C$65,MATCH(B101,Measures!$A$6:$A$65,0)),"Not found"))</f>
        <v/>
      </c>
      <c r="D101" s="15" t="str">
        <f>IF(B101="","",IFERROR(INDEX(Measures!$F$6:$F$65,MATCH(B101,Measures!$A$6:$A$65,0)),""))</f>
        <v/>
      </c>
      <c r="E101" s="20"/>
      <c r="F101" s="20"/>
      <c r="G101" s="70"/>
      <c r="H101" s="70"/>
      <c r="I101" s="20"/>
      <c r="J101" s="70"/>
      <c r="K101" s="50" t="str">
        <f>IF(OR(B101="",I101&lt;&gt;"Open",H101=""),"",MAX(0,Setup!$B$8-H101))</f>
        <v/>
      </c>
      <c r="L101" s="29" t="str">
        <f t="shared" si="2"/>
        <v/>
      </c>
    </row>
    <row r="102" spans="1:12" x14ac:dyDescent="0.45">
      <c r="A102" s="20"/>
      <c r="B102" s="20"/>
      <c r="C102" s="15" t="str">
        <f>IF(B102="","",IFERROR(INDEX(Measures!$C$6:$C$65,MATCH(B102,Measures!$A$6:$A$65,0)),"Not found"))</f>
        <v/>
      </c>
      <c r="D102" s="15" t="str">
        <f>IF(B102="","",IFERROR(INDEX(Measures!$F$6:$F$65,MATCH(B102,Measures!$A$6:$A$65,0)),""))</f>
        <v/>
      </c>
      <c r="E102" s="20"/>
      <c r="F102" s="20"/>
      <c r="G102" s="70"/>
      <c r="H102" s="70"/>
      <c r="I102" s="20"/>
      <c r="J102" s="70"/>
      <c r="K102" s="50" t="str">
        <f>IF(OR(B102="",I102&lt;&gt;"Open",H102=""),"",MAX(0,Setup!$B$8-H102))</f>
        <v/>
      </c>
      <c r="L102" s="29" t="str">
        <f t="shared" ref="L102:L133" si="3">IF(B102="","",IF(I102="Done","Closed",IF(K102="","",IF(K102&gt;0,"Overdue","On time"))))</f>
        <v/>
      </c>
    </row>
    <row r="103" spans="1:12" x14ac:dyDescent="0.45">
      <c r="A103" s="20"/>
      <c r="B103" s="20"/>
      <c r="C103" s="15" t="str">
        <f>IF(B103="","",IFERROR(INDEX(Measures!$C$6:$C$65,MATCH(B103,Measures!$A$6:$A$65,0)),"Not found"))</f>
        <v/>
      </c>
      <c r="D103" s="15" t="str">
        <f>IF(B103="","",IFERROR(INDEX(Measures!$F$6:$F$65,MATCH(B103,Measures!$A$6:$A$65,0)),""))</f>
        <v/>
      </c>
      <c r="E103" s="20"/>
      <c r="F103" s="20"/>
      <c r="G103" s="70"/>
      <c r="H103" s="70"/>
      <c r="I103" s="20"/>
      <c r="J103" s="70"/>
      <c r="K103" s="50" t="str">
        <f>IF(OR(B103="",I103&lt;&gt;"Open",H103=""),"",MAX(0,Setup!$B$8-H103))</f>
        <v/>
      </c>
      <c r="L103" s="29" t="str">
        <f t="shared" si="3"/>
        <v/>
      </c>
    </row>
    <row r="104" spans="1:12" x14ac:dyDescent="0.45">
      <c r="A104" s="20"/>
      <c r="B104" s="20"/>
      <c r="C104" s="15" t="str">
        <f>IF(B104="","",IFERROR(INDEX(Measures!$C$6:$C$65,MATCH(B104,Measures!$A$6:$A$65,0)),"Not found"))</f>
        <v/>
      </c>
      <c r="D104" s="15" t="str">
        <f>IF(B104="","",IFERROR(INDEX(Measures!$F$6:$F$65,MATCH(B104,Measures!$A$6:$A$65,0)),""))</f>
        <v/>
      </c>
      <c r="E104" s="20"/>
      <c r="F104" s="20"/>
      <c r="G104" s="70"/>
      <c r="H104" s="70"/>
      <c r="I104" s="20"/>
      <c r="J104" s="70"/>
      <c r="K104" s="50" t="str">
        <f>IF(OR(B104="",I104&lt;&gt;"Open",H104=""),"",MAX(0,Setup!$B$8-H104))</f>
        <v/>
      </c>
      <c r="L104" s="29" t="str">
        <f t="shared" si="3"/>
        <v/>
      </c>
    </row>
    <row r="105" spans="1:12" x14ac:dyDescent="0.45">
      <c r="A105" s="20"/>
      <c r="B105" s="20"/>
      <c r="C105" s="15" t="str">
        <f>IF(B105="","",IFERROR(INDEX(Measures!$C$6:$C$65,MATCH(B105,Measures!$A$6:$A$65,0)),"Not found"))</f>
        <v/>
      </c>
      <c r="D105" s="15" t="str">
        <f>IF(B105="","",IFERROR(INDEX(Measures!$F$6:$F$65,MATCH(B105,Measures!$A$6:$A$65,0)),""))</f>
        <v/>
      </c>
      <c r="E105" s="20"/>
      <c r="F105" s="20"/>
      <c r="G105" s="70"/>
      <c r="H105" s="70"/>
      <c r="I105" s="20"/>
      <c r="J105" s="70"/>
      <c r="K105" s="50" t="str">
        <f>IF(OR(B105="",I105&lt;&gt;"Open",H105=""),"",MAX(0,Setup!$B$8-H105))</f>
        <v/>
      </c>
      <c r="L105" s="29" t="str">
        <f t="shared" si="3"/>
        <v/>
      </c>
    </row>
  </sheetData>
  <conditionalFormatting sqref="L6:L105">
    <cfRule type="cellIs" dxfId="13" priority="2" operator="equal">
      <formula>"Overdue"</formula>
    </cfRule>
    <cfRule type="cellIs" dxfId="12" priority="3" operator="equal">
      <formula>"On time"</formula>
    </cfRule>
    <cfRule type="cellIs" dxfId="11" priority="4" operator="equal">
      <formula>"Closed"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="Pick a value from the list." xr:uid="{00000000-0002-0000-0800-000000000000}">
          <x14:formula1>
            <xm:f>Measures!$A$6:$A$65</xm:f>
          </x14:formula1>
          <x14:formula2>
            <xm:f>0</xm:f>
          </x14:formula2>
          <xm:sqref>B6:B105</xm:sqref>
        </x14:dataValidation>
        <x14:dataValidation type="list" allowBlank="1" showErrorMessage="1" error="Pick a value from the list." xr:uid="{00000000-0002-0000-0800-000001000000}">
          <x14:formula1>
            <xm:f>Lists!$H$6:$H$20</xm:f>
          </x14:formula1>
          <x14:formula2>
            <xm:f>0</xm:f>
          </x14:formula2>
          <xm:sqref>I6:I105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E9B5A"/>
  </sheetPr>
  <dimension ref="A1:T65"/>
  <sheetViews>
    <sheetView showGridLines="0" zoomScaleNormal="100" workbookViewId="0">
      <pane xSplit="5" ySplit="5" topLeftCell="F16" activePane="bottomRight" state="frozen"/>
      <selection pane="topRight" activeCell="F1" sqref="F1"/>
      <selection pane="bottomLeft" activeCell="A6" sqref="A6"/>
      <selection pane="bottomRight" activeCell="A5" sqref="A5"/>
    </sheetView>
  </sheetViews>
  <sheetFormatPr defaultColWidth="8.6640625" defaultRowHeight="14.25" x14ac:dyDescent="0.45"/>
  <cols>
    <col min="1" max="1" width="7" customWidth="1"/>
    <col min="2" max="2" width="6" customWidth="1"/>
    <col min="3" max="3" width="30" customWidth="1"/>
    <col min="4" max="5" width="20" customWidth="1"/>
    <col min="6" max="17" width="5.53125" customWidth="1"/>
    <col min="18" max="18" width="10" customWidth="1"/>
    <col min="19" max="20" width="9" customWidth="1"/>
  </cols>
  <sheetData>
    <row r="1" spans="1:20" ht="20.65" x14ac:dyDescent="0.6">
      <c r="A1" s="11" t="s">
        <v>341</v>
      </c>
    </row>
    <row r="2" spans="1:20" x14ac:dyDescent="0.45">
      <c r="A2" s="12" t="s">
        <v>342</v>
      </c>
    </row>
    <row r="5" spans="1:20" ht="30" customHeight="1" x14ac:dyDescent="0.45">
      <c r="A5" s="33" t="s">
        <v>55</v>
      </c>
      <c r="B5" s="33" t="s">
        <v>83</v>
      </c>
      <c r="C5" s="33" t="s">
        <v>82</v>
      </c>
      <c r="D5" s="33" t="s">
        <v>59</v>
      </c>
      <c r="E5" s="33" t="s">
        <v>87</v>
      </c>
      <c r="F5" s="33" t="s">
        <v>68</v>
      </c>
      <c r="G5" s="33" t="s">
        <v>69</v>
      </c>
      <c r="H5" s="33" t="s">
        <v>70</v>
      </c>
      <c r="I5" s="33" t="s">
        <v>71</v>
      </c>
      <c r="J5" s="33" t="s">
        <v>72</v>
      </c>
      <c r="K5" s="33" t="s">
        <v>73</v>
      </c>
      <c r="L5" s="33" t="s">
        <v>74</v>
      </c>
      <c r="M5" s="33" t="s">
        <v>75</v>
      </c>
      <c r="N5" s="33" t="s">
        <v>76</v>
      </c>
      <c r="O5" s="33" t="s">
        <v>77</v>
      </c>
      <c r="P5" s="33" t="s">
        <v>78</v>
      </c>
      <c r="Q5" s="33" t="s">
        <v>79</v>
      </c>
      <c r="R5" s="33" t="s">
        <v>84</v>
      </c>
      <c r="S5" s="33" t="s">
        <v>343</v>
      </c>
      <c r="T5" s="33" t="s">
        <v>344</v>
      </c>
    </row>
    <row r="6" spans="1:20" x14ac:dyDescent="0.45">
      <c r="A6" s="15" t="str">
        <f>Tracker!A6</f>
        <v>K01</v>
      </c>
      <c r="B6" s="15" t="str">
        <f>Tracker!B6</f>
        <v>KPI</v>
      </c>
      <c r="C6" s="15" t="str">
        <f>Tracker!C6</f>
        <v>Online share of sales</v>
      </c>
      <c r="D6" s="15" t="str">
        <f>Tracker!D6</f>
        <v>Sales and e-commerce</v>
      </c>
      <c r="E6" s="15" t="str">
        <f>Tracker!G6</f>
        <v>Head of E-commerce</v>
      </c>
      <c r="F6" s="35" t="str">
        <f>Calc!B6</f>
        <v>R</v>
      </c>
      <c r="G6" s="35" t="str">
        <f>Calc!C6</f>
        <v>R</v>
      </c>
      <c r="H6" s="35" t="str">
        <f>Calc!D6</f>
        <v>R</v>
      </c>
      <c r="I6" s="35" t="str">
        <f>Calc!E6</f>
        <v>R</v>
      </c>
      <c r="J6" s="35" t="str">
        <f>Calc!F6</f>
        <v>A</v>
      </c>
      <c r="K6" s="35" t="str">
        <f>Calc!G6</f>
        <v>A</v>
      </c>
      <c r="L6" s="35" t="str">
        <f>Calc!H6</f>
        <v>A</v>
      </c>
      <c r="M6" s="35" t="str">
        <f>Calc!I6</f>
        <v>A</v>
      </c>
      <c r="N6" s="35" t="str">
        <f>Calc!J6</f>
        <v>A</v>
      </c>
      <c r="O6" s="35" t="str">
        <f>Calc!K6</f>
        <v/>
      </c>
      <c r="P6" s="35" t="str">
        <f>Calc!L6</f>
        <v/>
      </c>
      <c r="Q6" s="35" t="str">
        <f>Calc!M6</f>
        <v/>
      </c>
      <c r="R6" s="32" t="str">
        <f>Tracker!Z6</f>
        <v>Amber</v>
      </c>
      <c r="S6" s="30">
        <f t="shared" ref="S6:S37" si="0">IF($A6="","",COUNTIF(F6:Q6,"R"))</f>
        <v>4</v>
      </c>
      <c r="T6" s="30">
        <f t="shared" ref="T6:T37" si="1">IF($A6="","",COUNTIF(F6:Q6,"G"))</f>
        <v>0</v>
      </c>
    </row>
    <row r="7" spans="1:20" x14ac:dyDescent="0.45">
      <c r="A7" s="15" t="str">
        <f>Tracker!A7</f>
        <v>K02</v>
      </c>
      <c r="B7" s="15" t="str">
        <f>Tracker!B7</f>
        <v>KPI</v>
      </c>
      <c r="C7" s="15" t="str">
        <f>Tracker!C7</f>
        <v>Online conversion rate</v>
      </c>
      <c r="D7" s="15" t="str">
        <f>Tracker!D7</f>
        <v>Sales and e-commerce</v>
      </c>
      <c r="E7" s="15" t="str">
        <f>Tracker!G7</f>
        <v>Head of E-commerce</v>
      </c>
      <c r="F7" s="35" t="str">
        <f>Calc!B7</f>
        <v>A</v>
      </c>
      <c r="G7" s="35" t="str">
        <f>Calc!C7</f>
        <v>A</v>
      </c>
      <c r="H7" s="35" t="str">
        <f>Calc!D7</f>
        <v>A</v>
      </c>
      <c r="I7" s="35" t="str">
        <f>Calc!E7</f>
        <v>A</v>
      </c>
      <c r="J7" s="35" t="str">
        <f>Calc!F7</f>
        <v>A</v>
      </c>
      <c r="K7" s="35" t="str">
        <f>Calc!G7</f>
        <v>A</v>
      </c>
      <c r="L7" s="35" t="str">
        <f>Calc!H7</f>
        <v>G</v>
      </c>
      <c r="M7" s="35" t="str">
        <f>Calc!I7</f>
        <v>G</v>
      </c>
      <c r="N7" s="35" t="str">
        <f>Calc!J7</f>
        <v>G</v>
      </c>
      <c r="O7" s="35" t="str">
        <f>Calc!K7</f>
        <v/>
      </c>
      <c r="P7" s="35" t="str">
        <f>Calc!L7</f>
        <v/>
      </c>
      <c r="Q7" s="35" t="str">
        <f>Calc!M7</f>
        <v/>
      </c>
      <c r="R7" s="32" t="str">
        <f>Tracker!Z7</f>
        <v>Green</v>
      </c>
      <c r="S7" s="30">
        <f t="shared" si="0"/>
        <v>0</v>
      </c>
      <c r="T7" s="30">
        <f t="shared" si="1"/>
        <v>3</v>
      </c>
    </row>
    <row r="8" spans="1:20" x14ac:dyDescent="0.45">
      <c r="A8" s="15" t="str">
        <f>Tracker!A8</f>
        <v>R11</v>
      </c>
      <c r="B8" s="15" t="str">
        <f>Tracker!B8</f>
        <v>KRI</v>
      </c>
      <c r="C8" s="15" t="str">
        <f>Tracker!C8</f>
        <v>Online refund rate</v>
      </c>
      <c r="D8" s="15" t="str">
        <f>Tracker!D8</f>
        <v>Sales and e-commerce</v>
      </c>
      <c r="E8" s="15" t="str">
        <f>Tracker!G8</f>
        <v>Head of E-commerce</v>
      </c>
      <c r="F8" s="35" t="str">
        <f>Calc!B8</f>
        <v>G</v>
      </c>
      <c r="G8" s="35" t="str">
        <f>Calc!C8</f>
        <v>G</v>
      </c>
      <c r="H8" s="35" t="str">
        <f>Calc!D8</f>
        <v>G</v>
      </c>
      <c r="I8" s="35" t="str">
        <f>Calc!E8</f>
        <v>G</v>
      </c>
      <c r="J8" s="35" t="str">
        <f>Calc!F8</f>
        <v>A</v>
      </c>
      <c r="K8" s="35" t="str">
        <f>Calc!G8</f>
        <v>A</v>
      </c>
      <c r="L8" s="35" t="str">
        <f>Calc!H8</f>
        <v>A</v>
      </c>
      <c r="M8" s="35" t="str">
        <f>Calc!I8</f>
        <v>A</v>
      </c>
      <c r="N8" s="35" t="str">
        <f>Calc!J8</f>
        <v>A</v>
      </c>
      <c r="O8" s="35" t="str">
        <f>Calc!K8</f>
        <v/>
      </c>
      <c r="P8" s="35" t="str">
        <f>Calc!L8</f>
        <v/>
      </c>
      <c r="Q8" s="35" t="str">
        <f>Calc!M8</f>
        <v/>
      </c>
      <c r="R8" s="32" t="str">
        <f>Tracker!Z8</f>
        <v>Amber</v>
      </c>
      <c r="S8" s="30">
        <f t="shared" si="0"/>
        <v>0</v>
      </c>
      <c r="T8" s="30">
        <f t="shared" si="1"/>
        <v>4</v>
      </c>
    </row>
    <row r="9" spans="1:20" x14ac:dyDescent="0.45">
      <c r="A9" s="15" t="str">
        <f>Tracker!A9</f>
        <v>K03</v>
      </c>
      <c r="B9" s="15" t="str">
        <f>Tracker!B9</f>
        <v>KPI</v>
      </c>
      <c r="C9" s="15" t="str">
        <f>Tracker!C9</f>
        <v>Like-for-like store sales growth</v>
      </c>
      <c r="D9" s="15" t="str">
        <f>Tracker!D9</f>
        <v>Sales and e-commerce</v>
      </c>
      <c r="E9" s="15" t="str">
        <f>Tracker!G9</f>
        <v>Head of Retail</v>
      </c>
      <c r="F9" s="35" t="str">
        <f>Calc!B9</f>
        <v>A</v>
      </c>
      <c r="G9" s="35" t="str">
        <f>Calc!C9</f>
        <v>A</v>
      </c>
      <c r="H9" s="35" t="str">
        <f>Calc!D9</f>
        <v>A</v>
      </c>
      <c r="I9" s="35" t="str">
        <f>Calc!E9</f>
        <v>G</v>
      </c>
      <c r="J9" s="35" t="str">
        <f>Calc!F9</f>
        <v>A</v>
      </c>
      <c r="K9" s="35" t="str">
        <f>Calc!G9</f>
        <v>G</v>
      </c>
      <c r="L9" s="35" t="str">
        <f>Calc!H9</f>
        <v>G</v>
      </c>
      <c r="M9" s="35" t="str">
        <f>Calc!I9</f>
        <v>A</v>
      </c>
      <c r="N9" s="35" t="str">
        <f>Calc!J9</f>
        <v>G</v>
      </c>
      <c r="O9" s="35" t="str">
        <f>Calc!K9</f>
        <v/>
      </c>
      <c r="P9" s="35" t="str">
        <f>Calc!L9</f>
        <v/>
      </c>
      <c r="Q9" s="35" t="str">
        <f>Calc!M9</f>
        <v/>
      </c>
      <c r="R9" s="32" t="str">
        <f>Tracker!Z9</f>
        <v>Green</v>
      </c>
      <c r="S9" s="30">
        <f t="shared" si="0"/>
        <v>0</v>
      </c>
      <c r="T9" s="30">
        <f t="shared" si="1"/>
        <v>4</v>
      </c>
    </row>
    <row r="10" spans="1:20" x14ac:dyDescent="0.45">
      <c r="A10" s="15" t="str">
        <f>Tracker!A10</f>
        <v>K04</v>
      </c>
      <c r="B10" s="15" t="str">
        <f>Tracker!B10</f>
        <v>KPI</v>
      </c>
      <c r="C10" s="15" t="str">
        <f>Tracker!C10</f>
        <v>Average basket value</v>
      </c>
      <c r="D10" s="15" t="str">
        <f>Tracker!D10</f>
        <v>Sales and e-commerce</v>
      </c>
      <c r="E10" s="15" t="str">
        <f>Tracker!G10</f>
        <v>Head of Retail</v>
      </c>
      <c r="F10" s="35" t="str">
        <f>Calc!B10</f>
        <v>R</v>
      </c>
      <c r="G10" s="35" t="str">
        <f>Calc!C10</f>
        <v>R</v>
      </c>
      <c r="H10" s="35" t="str">
        <f>Calc!D10</f>
        <v>A</v>
      </c>
      <c r="I10" s="35" t="str">
        <f>Calc!E10</f>
        <v>A</v>
      </c>
      <c r="J10" s="35" t="str">
        <f>Calc!F10</f>
        <v>A</v>
      </c>
      <c r="K10" s="35" t="str">
        <f>Calc!G10</f>
        <v>A</v>
      </c>
      <c r="L10" s="35" t="str">
        <f>Calc!H10</f>
        <v>A</v>
      </c>
      <c r="M10" s="35" t="str">
        <f>Calc!I10</f>
        <v>A</v>
      </c>
      <c r="N10" s="35" t="str">
        <f>Calc!J10</f>
        <v>G</v>
      </c>
      <c r="O10" s="35" t="str">
        <f>Calc!K10</f>
        <v/>
      </c>
      <c r="P10" s="35" t="str">
        <f>Calc!L10</f>
        <v/>
      </c>
      <c r="Q10" s="35" t="str">
        <f>Calc!M10</f>
        <v/>
      </c>
      <c r="R10" s="32" t="str">
        <f>Tracker!Z10</f>
        <v>Green</v>
      </c>
      <c r="S10" s="30">
        <f t="shared" si="0"/>
        <v>2</v>
      </c>
      <c r="T10" s="30">
        <f t="shared" si="1"/>
        <v>1</v>
      </c>
    </row>
    <row r="11" spans="1:20" x14ac:dyDescent="0.45">
      <c r="A11" s="15" t="str">
        <f>Tracker!A11</f>
        <v>K05</v>
      </c>
      <c r="B11" s="15" t="str">
        <f>Tracker!B11</f>
        <v>KPI</v>
      </c>
      <c r="C11" s="15" t="str">
        <f>Tracker!C11</f>
        <v>Repeat customer rate</v>
      </c>
      <c r="D11" s="15" t="str">
        <f>Tracker!D11</f>
        <v>Marketing and service</v>
      </c>
      <c r="E11" s="15" t="str">
        <f>Tracker!G11</f>
        <v>Head of Marketing</v>
      </c>
      <c r="F11" s="35" t="str">
        <f>Calc!B11</f>
        <v>R</v>
      </c>
      <c r="G11" s="35" t="str">
        <f>Calc!C11</f>
        <v>R</v>
      </c>
      <c r="H11" s="35" t="str">
        <f>Calc!D11</f>
        <v>R</v>
      </c>
      <c r="I11" s="35" t="str">
        <f>Calc!E11</f>
        <v>R</v>
      </c>
      <c r="J11" s="35" t="str">
        <f>Calc!F11</f>
        <v>R</v>
      </c>
      <c r="K11" s="35" t="str">
        <f>Calc!G11</f>
        <v>R</v>
      </c>
      <c r="L11" s="35" t="str">
        <f>Calc!H11</f>
        <v>R</v>
      </c>
      <c r="M11" s="35" t="str">
        <f>Calc!I11</f>
        <v>R</v>
      </c>
      <c r="N11" s="35" t="str">
        <f>Calc!J11</f>
        <v>R</v>
      </c>
      <c r="O11" s="35" t="str">
        <f>Calc!K11</f>
        <v/>
      </c>
      <c r="P11" s="35" t="str">
        <f>Calc!L11</f>
        <v/>
      </c>
      <c r="Q11" s="35" t="str">
        <f>Calc!M11</f>
        <v/>
      </c>
      <c r="R11" s="32" t="str">
        <f>Tracker!Z11</f>
        <v>Red</v>
      </c>
      <c r="S11" s="30">
        <f t="shared" si="0"/>
        <v>9</v>
      </c>
      <c r="T11" s="30">
        <f t="shared" si="1"/>
        <v>0</v>
      </c>
    </row>
    <row r="12" spans="1:20" ht="25.5" x14ac:dyDescent="0.45">
      <c r="A12" s="15" t="str">
        <f>Tracker!A12</f>
        <v>K06</v>
      </c>
      <c r="B12" s="15" t="str">
        <f>Tracker!B12</f>
        <v>KPI</v>
      </c>
      <c r="C12" s="15" t="str">
        <f>Tracker!C12</f>
        <v>Net Promoter Score</v>
      </c>
      <c r="D12" s="15" t="str">
        <f>Tracker!D12</f>
        <v>Marketing and service</v>
      </c>
      <c r="E12" s="15" t="str">
        <f>Tracker!G12</f>
        <v>Head of Customer Service</v>
      </c>
      <c r="F12" s="35" t="str">
        <f>Calc!B12</f>
        <v>R</v>
      </c>
      <c r="G12" s="35" t="str">
        <f>Calc!C12</f>
        <v>R</v>
      </c>
      <c r="H12" s="35" t="str">
        <f>Calc!D12</f>
        <v>A</v>
      </c>
      <c r="I12" s="35" t="str">
        <f>Calc!E12</f>
        <v>A</v>
      </c>
      <c r="J12" s="35" t="str">
        <f>Calc!F12</f>
        <v>A</v>
      </c>
      <c r="K12" s="35" t="str">
        <f>Calc!G12</f>
        <v>A</v>
      </c>
      <c r="L12" s="35" t="str">
        <f>Calc!H12</f>
        <v>A</v>
      </c>
      <c r="M12" s="35" t="str">
        <f>Calc!I12</f>
        <v>G</v>
      </c>
      <c r="N12" s="35" t="str">
        <f>Calc!J12</f>
        <v>G</v>
      </c>
      <c r="O12" s="35" t="str">
        <f>Calc!K12</f>
        <v/>
      </c>
      <c r="P12" s="35" t="str">
        <f>Calc!L12</f>
        <v/>
      </c>
      <c r="Q12" s="35" t="str">
        <f>Calc!M12</f>
        <v/>
      </c>
      <c r="R12" s="32" t="str">
        <f>Tracker!Z12</f>
        <v>Green</v>
      </c>
      <c r="S12" s="30">
        <f t="shared" si="0"/>
        <v>2</v>
      </c>
      <c r="T12" s="30">
        <f t="shared" si="1"/>
        <v>2</v>
      </c>
    </row>
    <row r="13" spans="1:20" ht="25.5" x14ac:dyDescent="0.45">
      <c r="A13" s="15" t="str">
        <f>Tracker!A13</f>
        <v>K07</v>
      </c>
      <c r="B13" s="15" t="str">
        <f>Tracker!B13</f>
        <v>KPI</v>
      </c>
      <c r="C13" s="15" t="str">
        <f>Tracker!C13</f>
        <v>First-contact resolution</v>
      </c>
      <c r="D13" s="15" t="str">
        <f>Tracker!D13</f>
        <v>Marketing and service</v>
      </c>
      <c r="E13" s="15" t="str">
        <f>Tracker!G13</f>
        <v>Head of Customer Service</v>
      </c>
      <c r="F13" s="35" t="str">
        <f>Calc!B13</f>
        <v>R</v>
      </c>
      <c r="G13" s="35" t="str">
        <f>Calc!C13</f>
        <v>R</v>
      </c>
      <c r="H13" s="35" t="str">
        <f>Calc!D13</f>
        <v>R</v>
      </c>
      <c r="I13" s="35" t="str">
        <f>Calc!E13</f>
        <v>A</v>
      </c>
      <c r="J13" s="35" t="str">
        <f>Calc!F13</f>
        <v>A</v>
      </c>
      <c r="K13" s="35" t="str">
        <f>Calc!G13</f>
        <v>A</v>
      </c>
      <c r="L13" s="35" t="str">
        <f>Calc!H13</f>
        <v>A</v>
      </c>
      <c r="M13" s="35" t="str">
        <f>Calc!I13</f>
        <v>A</v>
      </c>
      <c r="N13" s="35" t="str">
        <f>Calc!J13</f>
        <v>A</v>
      </c>
      <c r="O13" s="35" t="str">
        <f>Calc!K13</f>
        <v/>
      </c>
      <c r="P13" s="35" t="str">
        <f>Calc!L13</f>
        <v/>
      </c>
      <c r="Q13" s="35" t="str">
        <f>Calc!M13</f>
        <v/>
      </c>
      <c r="R13" s="32" t="str">
        <f>Tracker!Z13</f>
        <v>Amber</v>
      </c>
      <c r="S13" s="30">
        <f t="shared" si="0"/>
        <v>3</v>
      </c>
      <c r="T13" s="30">
        <f t="shared" si="1"/>
        <v>0</v>
      </c>
    </row>
    <row r="14" spans="1:20" x14ac:dyDescent="0.45">
      <c r="A14" s="15" t="str">
        <f>Tracker!A14</f>
        <v>K08</v>
      </c>
      <c r="B14" s="15" t="str">
        <f>Tracker!B14</f>
        <v>KPI</v>
      </c>
      <c r="C14" s="15" t="str">
        <f>Tracker!C14</f>
        <v>Shelf availability</v>
      </c>
      <c r="D14" s="15" t="str">
        <f>Tracker!D14</f>
        <v>Supply chain</v>
      </c>
      <c r="E14" s="15" t="str">
        <f>Tracker!G14</f>
        <v>Head of Supply Chain</v>
      </c>
      <c r="F14" s="35" t="str">
        <f>Calc!B14</f>
        <v>R</v>
      </c>
      <c r="G14" s="35" t="str">
        <f>Calc!C14</f>
        <v>A</v>
      </c>
      <c r="H14" s="35" t="str">
        <f>Calc!D14</f>
        <v>A</v>
      </c>
      <c r="I14" s="35" t="str">
        <f>Calc!E14</f>
        <v>G</v>
      </c>
      <c r="J14" s="35" t="str">
        <f>Calc!F14</f>
        <v>G</v>
      </c>
      <c r="K14" s="35" t="str">
        <f>Calc!G14</f>
        <v>G</v>
      </c>
      <c r="L14" s="35" t="str">
        <f>Calc!H14</f>
        <v>G</v>
      </c>
      <c r="M14" s="35" t="str">
        <f>Calc!I14</f>
        <v>G</v>
      </c>
      <c r="N14" s="35" t="str">
        <f>Calc!J14</f>
        <v>G</v>
      </c>
      <c r="O14" s="35" t="str">
        <f>Calc!K14</f>
        <v/>
      </c>
      <c r="P14" s="35" t="str">
        <f>Calc!L14</f>
        <v/>
      </c>
      <c r="Q14" s="35" t="str">
        <f>Calc!M14</f>
        <v/>
      </c>
      <c r="R14" s="32" t="str">
        <f>Tracker!Z14</f>
        <v>Green</v>
      </c>
      <c r="S14" s="30">
        <f t="shared" si="0"/>
        <v>1</v>
      </c>
      <c r="T14" s="30">
        <f t="shared" si="1"/>
        <v>6</v>
      </c>
    </row>
    <row r="15" spans="1:20" x14ac:dyDescent="0.45">
      <c r="A15" s="15" t="str">
        <f>Tracker!A15</f>
        <v>K09</v>
      </c>
      <c r="B15" s="15" t="str">
        <f>Tracker!B15</f>
        <v>KPI</v>
      </c>
      <c r="C15" s="15" t="str">
        <f>Tracker!C15</f>
        <v>Inventory days</v>
      </c>
      <c r="D15" s="15" t="str">
        <f>Tracker!D15</f>
        <v>Supply chain</v>
      </c>
      <c r="E15" s="15" t="str">
        <f>Tracker!G15</f>
        <v>Head of Supply Chain</v>
      </c>
      <c r="F15" s="35" t="str">
        <f>Calc!B15</f>
        <v>R</v>
      </c>
      <c r="G15" s="35" t="str">
        <f>Calc!C15</f>
        <v>R</v>
      </c>
      <c r="H15" s="35" t="str">
        <f>Calc!D15</f>
        <v>R</v>
      </c>
      <c r="I15" s="35" t="str">
        <f>Calc!E15</f>
        <v>R</v>
      </c>
      <c r="J15" s="35" t="str">
        <f>Calc!F15</f>
        <v>A</v>
      </c>
      <c r="K15" s="35" t="str">
        <f>Calc!G15</f>
        <v>A</v>
      </c>
      <c r="L15" s="35" t="str">
        <f>Calc!H15</f>
        <v>A</v>
      </c>
      <c r="M15" s="35" t="str">
        <f>Calc!I15</f>
        <v>A</v>
      </c>
      <c r="N15" s="35" t="str">
        <f>Calc!J15</f>
        <v>A</v>
      </c>
      <c r="O15" s="35" t="str">
        <f>Calc!K15</f>
        <v/>
      </c>
      <c r="P15" s="35" t="str">
        <f>Calc!L15</f>
        <v/>
      </c>
      <c r="Q15" s="35" t="str">
        <f>Calc!M15</f>
        <v/>
      </c>
      <c r="R15" s="32" t="str">
        <f>Tracker!Z15</f>
        <v>Amber</v>
      </c>
      <c r="S15" s="30">
        <f t="shared" si="0"/>
        <v>4</v>
      </c>
      <c r="T15" s="30">
        <f t="shared" si="1"/>
        <v>0</v>
      </c>
    </row>
    <row r="16" spans="1:20" ht="25.5" x14ac:dyDescent="0.45">
      <c r="A16" s="15" t="str">
        <f>Tracker!A16</f>
        <v>R03</v>
      </c>
      <c r="B16" s="15" t="str">
        <f>Tracker!B16</f>
        <v>KRI</v>
      </c>
      <c r="C16" s="15" t="str">
        <f>Tracker!C16</f>
        <v>Share of purchases from top supplier</v>
      </c>
      <c r="D16" s="15" t="str">
        <f>Tracker!D16</f>
        <v>Supply chain</v>
      </c>
      <c r="E16" s="15" t="str">
        <f>Tracker!G16</f>
        <v>Head of Procurement</v>
      </c>
      <c r="F16" s="35" t="str">
        <f>Calc!B16</f>
        <v>A</v>
      </c>
      <c r="G16" s="35" t="str">
        <f>Calc!C16</f>
        <v>A</v>
      </c>
      <c r="H16" s="35" t="str">
        <f>Calc!D16</f>
        <v>A</v>
      </c>
      <c r="I16" s="35" t="str">
        <f>Calc!E16</f>
        <v>A</v>
      </c>
      <c r="J16" s="35" t="str">
        <f>Calc!F16</f>
        <v>A</v>
      </c>
      <c r="K16" s="35" t="str">
        <f>Calc!G16</f>
        <v>A</v>
      </c>
      <c r="L16" s="35" t="str">
        <f>Calc!H16</f>
        <v>A</v>
      </c>
      <c r="M16" s="35" t="str">
        <f>Calc!I16</f>
        <v>G</v>
      </c>
      <c r="N16" s="35" t="str">
        <f>Calc!J16</f>
        <v>G</v>
      </c>
      <c r="O16" s="35" t="str">
        <f>Calc!K16</f>
        <v/>
      </c>
      <c r="P16" s="35" t="str">
        <f>Calc!L16</f>
        <v/>
      </c>
      <c r="Q16" s="35" t="str">
        <f>Calc!M16</f>
        <v/>
      </c>
      <c r="R16" s="32" t="str">
        <f>Tracker!Z16</f>
        <v>Green</v>
      </c>
      <c r="S16" s="30">
        <f t="shared" si="0"/>
        <v>0</v>
      </c>
      <c r="T16" s="30">
        <f t="shared" si="1"/>
        <v>2</v>
      </c>
    </row>
    <row r="17" spans="1:20" x14ac:dyDescent="0.45">
      <c r="A17" s="15" t="str">
        <f>Tracker!A17</f>
        <v>R04</v>
      </c>
      <c r="B17" s="15" t="str">
        <f>Tracker!B17</f>
        <v>KRI</v>
      </c>
      <c r="C17" s="15" t="str">
        <f>Tracker!C17</f>
        <v>Stock write-offs as % of sales</v>
      </c>
      <c r="D17" s="15" t="str">
        <f>Tracker!D17</f>
        <v>Supply chain</v>
      </c>
      <c r="E17" s="15" t="str">
        <f>Tracker!G17</f>
        <v>Head of Supply Chain</v>
      </c>
      <c r="F17" s="35" t="str">
        <f>Calc!B17</f>
        <v>A</v>
      </c>
      <c r="G17" s="35" t="str">
        <f>Calc!C17</f>
        <v>A</v>
      </c>
      <c r="H17" s="35" t="str">
        <f>Calc!D17</f>
        <v>A</v>
      </c>
      <c r="I17" s="35" t="str">
        <f>Calc!E17</f>
        <v>A</v>
      </c>
      <c r="J17" s="35" t="str">
        <f>Calc!F17</f>
        <v>A</v>
      </c>
      <c r="K17" s="35" t="str">
        <f>Calc!G17</f>
        <v>A</v>
      </c>
      <c r="L17" s="35" t="str">
        <f>Calc!H17</f>
        <v>A</v>
      </c>
      <c r="M17" s="35" t="str">
        <f>Calc!I17</f>
        <v>R</v>
      </c>
      <c r="N17" s="35" t="str">
        <f>Calc!J17</f>
        <v>R</v>
      </c>
      <c r="O17" s="35" t="str">
        <f>Calc!K17</f>
        <v/>
      </c>
      <c r="P17" s="35" t="str">
        <f>Calc!L17</f>
        <v/>
      </c>
      <c r="Q17" s="35" t="str">
        <f>Calc!M17</f>
        <v/>
      </c>
      <c r="R17" s="32" t="str">
        <f>Tracker!Z17</f>
        <v>Red</v>
      </c>
      <c r="S17" s="30">
        <f t="shared" si="0"/>
        <v>2</v>
      </c>
      <c r="T17" s="30">
        <f t="shared" si="1"/>
        <v>0</v>
      </c>
    </row>
    <row r="18" spans="1:20" x14ac:dyDescent="0.45">
      <c r="A18" s="15" t="str">
        <f>Tracker!A18</f>
        <v>K10</v>
      </c>
      <c r="B18" s="15" t="str">
        <f>Tracker!B18</f>
        <v>KPI</v>
      </c>
      <c r="C18" s="15" t="str">
        <f>Tracker!C18</f>
        <v>Gross margin</v>
      </c>
      <c r="D18" s="15" t="str">
        <f>Tracker!D18</f>
        <v>Finance</v>
      </c>
      <c r="E18" s="15" t="str">
        <f>Tracker!G18</f>
        <v>CFO</v>
      </c>
      <c r="F18" s="35" t="str">
        <f>Calc!B18</f>
        <v>R</v>
      </c>
      <c r="G18" s="35" t="str">
        <f>Calc!C18</f>
        <v>A</v>
      </c>
      <c r="H18" s="35" t="str">
        <f>Calc!D18</f>
        <v>A</v>
      </c>
      <c r="I18" s="35" t="str">
        <f>Calc!E18</f>
        <v>A</v>
      </c>
      <c r="J18" s="35" t="str">
        <f>Calc!F18</f>
        <v>A</v>
      </c>
      <c r="K18" s="35" t="str">
        <f>Calc!G18</f>
        <v>G</v>
      </c>
      <c r="L18" s="35" t="str">
        <f>Calc!H18</f>
        <v>G</v>
      </c>
      <c r="M18" s="35" t="str">
        <f>Calc!I18</f>
        <v>A</v>
      </c>
      <c r="N18" s="35" t="str">
        <f>Calc!J18</f>
        <v>G</v>
      </c>
      <c r="O18" s="35" t="str">
        <f>Calc!K18</f>
        <v/>
      </c>
      <c r="P18" s="35" t="str">
        <f>Calc!L18</f>
        <v/>
      </c>
      <c r="Q18" s="35" t="str">
        <f>Calc!M18</f>
        <v/>
      </c>
      <c r="R18" s="32" t="str">
        <f>Tracker!Z18</f>
        <v>Green</v>
      </c>
      <c r="S18" s="30">
        <f t="shared" si="0"/>
        <v>1</v>
      </c>
      <c r="T18" s="30">
        <f t="shared" si="1"/>
        <v>3</v>
      </c>
    </row>
    <row r="19" spans="1:20" x14ac:dyDescent="0.45">
      <c r="A19" s="15" t="str">
        <f>Tracker!A19</f>
        <v>K11</v>
      </c>
      <c r="B19" s="15" t="str">
        <f>Tracker!B19</f>
        <v>KPI</v>
      </c>
      <c r="C19" s="15" t="str">
        <f>Tracker!C19</f>
        <v>Operating cost as % of sales</v>
      </c>
      <c r="D19" s="15" t="str">
        <f>Tracker!D19</f>
        <v>Finance</v>
      </c>
      <c r="E19" s="15" t="str">
        <f>Tracker!G19</f>
        <v>CFO</v>
      </c>
      <c r="F19" s="35" t="str">
        <f>Calc!B19</f>
        <v>R</v>
      </c>
      <c r="G19" s="35" t="str">
        <f>Calc!C19</f>
        <v>R</v>
      </c>
      <c r="H19" s="35" t="str">
        <f>Calc!D19</f>
        <v>A</v>
      </c>
      <c r="I19" s="35" t="str">
        <f>Calc!E19</f>
        <v>A</v>
      </c>
      <c r="J19" s="35" t="str">
        <f>Calc!F19</f>
        <v>A</v>
      </c>
      <c r="K19" s="35" t="str">
        <f>Calc!G19</f>
        <v>A</v>
      </c>
      <c r="L19" s="35" t="str">
        <f>Calc!H19</f>
        <v>A</v>
      </c>
      <c r="M19" s="35" t="str">
        <f>Calc!I19</f>
        <v>A</v>
      </c>
      <c r="N19" s="35" t="str">
        <f>Calc!J19</f>
        <v>A</v>
      </c>
      <c r="O19" s="35" t="str">
        <f>Calc!K19</f>
        <v/>
      </c>
      <c r="P19" s="35" t="str">
        <f>Calc!L19</f>
        <v/>
      </c>
      <c r="Q19" s="35" t="str">
        <f>Calc!M19</f>
        <v/>
      </c>
      <c r="R19" s="32" t="str">
        <f>Tracker!Z19</f>
        <v>Amber</v>
      </c>
      <c r="S19" s="30">
        <f t="shared" si="0"/>
        <v>2</v>
      </c>
      <c r="T19" s="30">
        <f t="shared" si="1"/>
        <v>0</v>
      </c>
    </row>
    <row r="20" spans="1:20" x14ac:dyDescent="0.45">
      <c r="A20" s="15" t="str">
        <f>Tracker!A20</f>
        <v>R01</v>
      </c>
      <c r="B20" s="15" t="str">
        <f>Tracker!B20</f>
        <v>KRI</v>
      </c>
      <c r="C20" s="15" t="str">
        <f>Tracker!C20</f>
        <v>Receivables over 90 days</v>
      </c>
      <c r="D20" s="15" t="str">
        <f>Tracker!D20</f>
        <v>Finance</v>
      </c>
      <c r="E20" s="15" t="str">
        <f>Tracker!G20</f>
        <v>Credit Manager</v>
      </c>
      <c r="F20" s="35" t="str">
        <f>Calc!B20</f>
        <v>G</v>
      </c>
      <c r="G20" s="35" t="str">
        <f>Calc!C20</f>
        <v>G</v>
      </c>
      <c r="H20" s="35" t="str">
        <f>Calc!D20</f>
        <v>A</v>
      </c>
      <c r="I20" s="35" t="str">
        <f>Calc!E20</f>
        <v>A</v>
      </c>
      <c r="J20" s="35" t="str">
        <f>Calc!F20</f>
        <v>A</v>
      </c>
      <c r="K20" s="35" t="str">
        <f>Calc!G20</f>
        <v>A</v>
      </c>
      <c r="L20" s="35" t="str">
        <f>Calc!H20</f>
        <v>A</v>
      </c>
      <c r="M20" s="35" t="str">
        <f>Calc!I20</f>
        <v>R</v>
      </c>
      <c r="N20" s="35" t="str">
        <f>Calc!J20</f>
        <v>R</v>
      </c>
      <c r="O20" s="35" t="str">
        <f>Calc!K20</f>
        <v/>
      </c>
      <c r="P20" s="35" t="str">
        <f>Calc!L20</f>
        <v/>
      </c>
      <c r="Q20" s="35" t="str">
        <f>Calc!M20</f>
        <v/>
      </c>
      <c r="R20" s="32" t="str">
        <f>Tracker!Z20</f>
        <v>Red</v>
      </c>
      <c r="S20" s="30">
        <f t="shared" si="0"/>
        <v>2</v>
      </c>
      <c r="T20" s="30">
        <f t="shared" si="1"/>
        <v>2</v>
      </c>
    </row>
    <row r="21" spans="1:20" x14ac:dyDescent="0.45">
      <c r="A21" s="15" t="str">
        <f>Tracker!A21</f>
        <v>R02</v>
      </c>
      <c r="B21" s="15" t="str">
        <f>Tracker!B21</f>
        <v>KRI</v>
      </c>
      <c r="C21" s="15" t="str">
        <f>Tracker!C21</f>
        <v>Months of cash cover</v>
      </c>
      <c r="D21" s="15" t="str">
        <f>Tracker!D21</f>
        <v>Finance</v>
      </c>
      <c r="E21" s="15" t="str">
        <f>Tracker!G21</f>
        <v>CFO</v>
      </c>
      <c r="F21" s="35" t="str">
        <f>Calc!B21</f>
        <v>G</v>
      </c>
      <c r="G21" s="35" t="str">
        <f>Calc!C21</f>
        <v>G</v>
      </c>
      <c r="H21" s="35" t="str">
        <f>Calc!D21</f>
        <v>G</v>
      </c>
      <c r="I21" s="35" t="str">
        <f>Calc!E21</f>
        <v>G</v>
      </c>
      <c r="J21" s="35" t="str">
        <f>Calc!F21</f>
        <v>A</v>
      </c>
      <c r="K21" s="35" t="str">
        <f>Calc!G21</f>
        <v>A</v>
      </c>
      <c r="L21" s="35" t="str">
        <f>Calc!H21</f>
        <v>A</v>
      </c>
      <c r="M21" s="35" t="str">
        <f>Calc!I21</f>
        <v>A</v>
      </c>
      <c r="N21" s="35" t="str">
        <f>Calc!J21</f>
        <v>A</v>
      </c>
      <c r="O21" s="35" t="str">
        <f>Calc!K21</f>
        <v/>
      </c>
      <c r="P21" s="35" t="str">
        <f>Calc!L21</f>
        <v/>
      </c>
      <c r="Q21" s="35" t="str">
        <f>Calc!M21</f>
        <v/>
      </c>
      <c r="R21" s="32" t="str">
        <f>Tracker!Z21</f>
        <v>Amber</v>
      </c>
      <c r="S21" s="30">
        <f t="shared" si="0"/>
        <v>0</v>
      </c>
      <c r="T21" s="30">
        <f t="shared" si="1"/>
        <v>4</v>
      </c>
    </row>
    <row r="22" spans="1:20" x14ac:dyDescent="0.45">
      <c r="A22" s="15" t="str">
        <f>Tracker!A22</f>
        <v>K12</v>
      </c>
      <c r="B22" s="15" t="str">
        <f>Tracker!B22</f>
        <v>KPI</v>
      </c>
      <c r="C22" s="15" t="str">
        <f>Tracker!C22</f>
        <v>Staff turnover (rolling 12 months)</v>
      </c>
      <c r="D22" s="15" t="str">
        <f>Tracker!D22</f>
        <v>People (HR)</v>
      </c>
      <c r="E22" s="15" t="str">
        <f>Tracker!G22</f>
        <v>HR Director</v>
      </c>
      <c r="F22" s="35" t="str">
        <f>Calc!B22</f>
        <v>R</v>
      </c>
      <c r="G22" s="35" t="str">
        <f>Calc!C22</f>
        <v>R</v>
      </c>
      <c r="H22" s="35" t="str">
        <f>Calc!D22</f>
        <v>R</v>
      </c>
      <c r="I22" s="35" t="str">
        <f>Calc!E22</f>
        <v>R</v>
      </c>
      <c r="J22" s="35" t="str">
        <f>Calc!F22</f>
        <v>R</v>
      </c>
      <c r="K22" s="35" t="str">
        <f>Calc!G22</f>
        <v>R</v>
      </c>
      <c r="L22" s="35" t="str">
        <f>Calc!H22</f>
        <v>R</v>
      </c>
      <c r="M22" s="35" t="str">
        <f>Calc!I22</f>
        <v>R</v>
      </c>
      <c r="N22" s="35" t="str">
        <f>Calc!J22</f>
        <v>R</v>
      </c>
      <c r="O22" s="35" t="str">
        <f>Calc!K22</f>
        <v/>
      </c>
      <c r="P22" s="35" t="str">
        <f>Calc!L22</f>
        <v/>
      </c>
      <c r="Q22" s="35" t="str">
        <f>Calc!M22</f>
        <v/>
      </c>
      <c r="R22" s="32" t="str">
        <f>Tracker!Z22</f>
        <v>Red</v>
      </c>
      <c r="S22" s="30">
        <f t="shared" si="0"/>
        <v>9</v>
      </c>
      <c r="T22" s="30">
        <f t="shared" si="1"/>
        <v>0</v>
      </c>
    </row>
    <row r="23" spans="1:20" x14ac:dyDescent="0.45">
      <c r="A23" s="15" t="str">
        <f>Tracker!A23</f>
        <v>K13</v>
      </c>
      <c r="B23" s="15" t="str">
        <f>Tracker!B23</f>
        <v>KPI</v>
      </c>
      <c r="C23" s="15" t="str">
        <f>Tracker!C23</f>
        <v>Time to hire</v>
      </c>
      <c r="D23" s="15" t="str">
        <f>Tracker!D23</f>
        <v>People (HR)</v>
      </c>
      <c r="E23" s="15" t="str">
        <f>Tracker!G23</f>
        <v>HR Director</v>
      </c>
      <c r="F23" s="35" t="str">
        <f>Calc!B23</f>
        <v>R</v>
      </c>
      <c r="G23" s="35" t="str">
        <f>Calc!C23</f>
        <v>R</v>
      </c>
      <c r="H23" s="35" t="str">
        <f>Calc!D23</f>
        <v>R</v>
      </c>
      <c r="I23" s="35" t="str">
        <f>Calc!E23</f>
        <v>R</v>
      </c>
      <c r="J23" s="35" t="str">
        <f>Calc!F23</f>
        <v>A</v>
      </c>
      <c r="K23" s="35" t="str">
        <f>Calc!G23</f>
        <v>A</v>
      </c>
      <c r="L23" s="35" t="str">
        <f>Calc!H23</f>
        <v>A</v>
      </c>
      <c r="M23" s="35" t="str">
        <f>Calc!I23</f>
        <v>A</v>
      </c>
      <c r="N23" s="35" t="str">
        <f>Calc!J23</f>
        <v>A</v>
      </c>
      <c r="O23" s="35" t="str">
        <f>Calc!K23</f>
        <v/>
      </c>
      <c r="P23" s="35" t="str">
        <f>Calc!L23</f>
        <v/>
      </c>
      <c r="Q23" s="35" t="str">
        <f>Calc!M23</f>
        <v/>
      </c>
      <c r="R23" s="32" t="str">
        <f>Tracker!Z23</f>
        <v>Amber</v>
      </c>
      <c r="S23" s="30">
        <f t="shared" si="0"/>
        <v>4</v>
      </c>
      <c r="T23" s="30">
        <f t="shared" si="1"/>
        <v>0</v>
      </c>
    </row>
    <row r="24" spans="1:20" x14ac:dyDescent="0.45">
      <c r="A24" s="15" t="str">
        <f>Tracker!A24</f>
        <v>R05</v>
      </c>
      <c r="B24" s="15" t="str">
        <f>Tracker!B24</f>
        <v>KRI</v>
      </c>
      <c r="C24" s="15" t="str">
        <f>Tracker!C24</f>
        <v>Key roles vacant over 60 days</v>
      </c>
      <c r="D24" s="15" t="str">
        <f>Tracker!D24</f>
        <v>People (HR)</v>
      </c>
      <c r="E24" s="15" t="str">
        <f>Tracker!G24</f>
        <v>HR Director</v>
      </c>
      <c r="F24" s="35" t="str">
        <f>Calc!B24</f>
        <v>A</v>
      </c>
      <c r="G24" s="35" t="str">
        <f>Calc!C24</f>
        <v>A</v>
      </c>
      <c r="H24" s="35" t="str">
        <f>Calc!D24</f>
        <v>G</v>
      </c>
      <c r="I24" s="35" t="str">
        <f>Calc!E24</f>
        <v>G</v>
      </c>
      <c r="J24" s="35" t="str">
        <f>Calc!F24</f>
        <v>G</v>
      </c>
      <c r="K24" s="35" t="str">
        <f>Calc!G24</f>
        <v>G</v>
      </c>
      <c r="L24" s="35" t="str">
        <f>Calc!H24</f>
        <v>G</v>
      </c>
      <c r="M24" s="35" t="str">
        <f>Calc!I24</f>
        <v>G</v>
      </c>
      <c r="N24" s="35" t="str">
        <f>Calc!J24</f>
        <v>G</v>
      </c>
      <c r="O24" s="35" t="str">
        <f>Calc!K24</f>
        <v/>
      </c>
      <c r="P24" s="35" t="str">
        <f>Calc!L24</f>
        <v/>
      </c>
      <c r="Q24" s="35" t="str">
        <f>Calc!M24</f>
        <v/>
      </c>
      <c r="R24" s="32" t="str">
        <f>Tracker!Z24</f>
        <v>Green</v>
      </c>
      <c r="S24" s="30">
        <f t="shared" si="0"/>
        <v>0</v>
      </c>
      <c r="T24" s="30">
        <f t="shared" si="1"/>
        <v>7</v>
      </c>
    </row>
    <row r="25" spans="1:20" x14ac:dyDescent="0.45">
      <c r="A25" s="15" t="str">
        <f>Tracker!A25</f>
        <v>R06</v>
      </c>
      <c r="B25" s="15" t="str">
        <f>Tracker!B25</f>
        <v>KRI</v>
      </c>
      <c r="C25" s="15" t="str">
        <f>Tracker!C25</f>
        <v>Critical security patches overdue</v>
      </c>
      <c r="D25" s="15" t="str">
        <f>Tracker!D25</f>
        <v>IT</v>
      </c>
      <c r="E25" s="15" t="str">
        <f>Tracker!G25</f>
        <v>Head of IT</v>
      </c>
      <c r="F25" s="35" t="str">
        <f>Calc!B25</f>
        <v>R</v>
      </c>
      <c r="G25" s="35" t="str">
        <f>Calc!C25</f>
        <v>R</v>
      </c>
      <c r="H25" s="35" t="str">
        <f>Calc!D25</f>
        <v>A</v>
      </c>
      <c r="I25" s="35" t="str">
        <f>Calc!E25</f>
        <v>A</v>
      </c>
      <c r="J25" s="35" t="str">
        <f>Calc!F25</f>
        <v>A</v>
      </c>
      <c r="K25" s="35" t="str">
        <f>Calc!G25</f>
        <v>G</v>
      </c>
      <c r="L25" s="35" t="str">
        <f>Calc!H25</f>
        <v>A</v>
      </c>
      <c r="M25" s="35" t="str">
        <f>Calc!I25</f>
        <v>G</v>
      </c>
      <c r="N25" s="35" t="str">
        <f>Calc!J25</f>
        <v>G</v>
      </c>
      <c r="O25" s="35" t="str">
        <f>Calc!K25</f>
        <v/>
      </c>
      <c r="P25" s="35" t="str">
        <f>Calc!L25</f>
        <v/>
      </c>
      <c r="Q25" s="35" t="str">
        <f>Calc!M25</f>
        <v/>
      </c>
      <c r="R25" s="32" t="str">
        <f>Tracker!Z25</f>
        <v>Green</v>
      </c>
      <c r="S25" s="30">
        <f t="shared" si="0"/>
        <v>2</v>
      </c>
      <c r="T25" s="30">
        <f t="shared" si="1"/>
        <v>3</v>
      </c>
    </row>
    <row r="26" spans="1:20" x14ac:dyDescent="0.45">
      <c r="A26" s="15" t="str">
        <f>Tracker!A26</f>
        <v>R07</v>
      </c>
      <c r="B26" s="15" t="str">
        <f>Tracker!B26</f>
        <v>KRI</v>
      </c>
      <c r="C26" s="15" t="str">
        <f>Tracker!C26</f>
        <v>Phishing test click rate</v>
      </c>
      <c r="D26" s="15" t="str">
        <f>Tracker!D26</f>
        <v>IT</v>
      </c>
      <c r="E26" s="15" t="str">
        <f>Tracker!G26</f>
        <v>Head of IT</v>
      </c>
      <c r="F26" s="35" t="str">
        <f>Calc!B26</f>
        <v>R</v>
      </c>
      <c r="G26" s="35" t="str">
        <f>Calc!C26</f>
        <v>R</v>
      </c>
      <c r="H26" s="35" t="str">
        <f>Calc!D26</f>
        <v>R</v>
      </c>
      <c r="I26" s="35" t="str">
        <f>Calc!E26</f>
        <v>A</v>
      </c>
      <c r="J26" s="35" t="str">
        <f>Calc!F26</f>
        <v>A</v>
      </c>
      <c r="K26" s="35" t="str">
        <f>Calc!G26</f>
        <v>A</v>
      </c>
      <c r="L26" s="35" t="str">
        <f>Calc!H26</f>
        <v>A</v>
      </c>
      <c r="M26" s="35" t="str">
        <f>Calc!I26</f>
        <v>A</v>
      </c>
      <c r="N26" s="35" t="str">
        <f>Calc!J26</f>
        <v>A</v>
      </c>
      <c r="O26" s="35" t="str">
        <f>Calc!K26</f>
        <v/>
      </c>
      <c r="P26" s="35" t="str">
        <f>Calc!L26</f>
        <v/>
      </c>
      <c r="Q26" s="35" t="str">
        <f>Calc!M26</f>
        <v/>
      </c>
      <c r="R26" s="32" t="str">
        <f>Tracker!Z26</f>
        <v>Amber</v>
      </c>
      <c r="S26" s="30">
        <f t="shared" si="0"/>
        <v>3</v>
      </c>
      <c r="T26" s="30">
        <f t="shared" si="1"/>
        <v>0</v>
      </c>
    </row>
    <row r="27" spans="1:20" ht="25.5" x14ac:dyDescent="0.45">
      <c r="A27" s="15" t="str">
        <f>Tracker!A27</f>
        <v>R08</v>
      </c>
      <c r="B27" s="15" t="str">
        <f>Tracker!B27</f>
        <v>KRI</v>
      </c>
      <c r="C27" s="15" t="str">
        <f>Tracker!C27</f>
        <v>Unplanned system downtime (hours)</v>
      </c>
      <c r="D27" s="15" t="str">
        <f>Tracker!D27</f>
        <v>IT</v>
      </c>
      <c r="E27" s="15" t="str">
        <f>Tracker!G27</f>
        <v>Head of IT</v>
      </c>
      <c r="F27" s="35" t="str">
        <f>Calc!B27</f>
        <v>G</v>
      </c>
      <c r="G27" s="35" t="str">
        <f>Calc!C27</f>
        <v>A</v>
      </c>
      <c r="H27" s="35" t="str">
        <f>Calc!D27</f>
        <v>G</v>
      </c>
      <c r="I27" s="35" t="str">
        <f>Calc!E27</f>
        <v>R</v>
      </c>
      <c r="J27" s="35" t="str">
        <f>Calc!F27</f>
        <v>G</v>
      </c>
      <c r="K27" s="35" t="str">
        <f>Calc!G27</f>
        <v>G</v>
      </c>
      <c r="L27" s="35" t="str">
        <f>Calc!H27</f>
        <v>G</v>
      </c>
      <c r="M27" s="35" t="str">
        <f>Calc!I27</f>
        <v>A</v>
      </c>
      <c r="N27" s="35" t="str">
        <f>Calc!J27</f>
        <v>G</v>
      </c>
      <c r="O27" s="35" t="str">
        <f>Calc!K27</f>
        <v/>
      </c>
      <c r="P27" s="35" t="str">
        <f>Calc!L27</f>
        <v/>
      </c>
      <c r="Q27" s="35" t="str">
        <f>Calc!M27</f>
        <v/>
      </c>
      <c r="R27" s="32" t="str">
        <f>Tracker!Z27</f>
        <v>Green</v>
      </c>
      <c r="S27" s="30">
        <f t="shared" si="0"/>
        <v>1</v>
      </c>
      <c r="T27" s="30">
        <f t="shared" si="1"/>
        <v>6</v>
      </c>
    </row>
    <row r="28" spans="1:20" x14ac:dyDescent="0.45">
      <c r="A28" s="15" t="str">
        <f>Tracker!A28</f>
        <v>R09</v>
      </c>
      <c r="B28" s="15" t="str">
        <f>Tracker!B28</f>
        <v>KRI</v>
      </c>
      <c r="C28" s="15" t="str">
        <f>Tracker!C28</f>
        <v>Audit actions past due date</v>
      </c>
      <c r="D28" s="15" t="str">
        <f>Tracker!D28</f>
        <v>Risk and compliance</v>
      </c>
      <c r="E28" s="15" t="str">
        <f>Tracker!G28</f>
        <v>Chief Risk Officer</v>
      </c>
      <c r="F28" s="35" t="str">
        <f>Calc!B28</f>
        <v>A</v>
      </c>
      <c r="G28" s="35" t="str">
        <f>Calc!C28</f>
        <v>A</v>
      </c>
      <c r="H28" s="35" t="str">
        <f>Calc!D28</f>
        <v>R</v>
      </c>
      <c r="I28" s="35" t="str">
        <f>Calc!E28</f>
        <v>R</v>
      </c>
      <c r="J28" s="35" t="str">
        <f>Calc!F28</f>
        <v>R</v>
      </c>
      <c r="K28" s="35" t="str">
        <f>Calc!G28</f>
        <v>R</v>
      </c>
      <c r="L28" s="35" t="str">
        <f>Calc!H28</f>
        <v>R</v>
      </c>
      <c r="M28" s="35" t="str">
        <f>Calc!I28</f>
        <v>R</v>
      </c>
      <c r="N28" s="35" t="str">
        <f>Calc!J28</f>
        <v>R</v>
      </c>
      <c r="O28" s="35" t="str">
        <f>Calc!K28</f>
        <v/>
      </c>
      <c r="P28" s="35" t="str">
        <f>Calc!L28</f>
        <v/>
      </c>
      <c r="Q28" s="35" t="str">
        <f>Calc!M28</f>
        <v/>
      </c>
      <c r="R28" s="32" t="str">
        <f>Tracker!Z28</f>
        <v>Red</v>
      </c>
      <c r="S28" s="30">
        <f t="shared" si="0"/>
        <v>7</v>
      </c>
      <c r="T28" s="30">
        <f t="shared" si="1"/>
        <v>0</v>
      </c>
    </row>
    <row r="29" spans="1:20" ht="25.5" x14ac:dyDescent="0.45">
      <c r="A29" s="15" t="str">
        <f>Tracker!A29</f>
        <v>R10</v>
      </c>
      <c r="B29" s="15" t="str">
        <f>Tracker!B29</f>
        <v>KRI</v>
      </c>
      <c r="C29" s="15" t="str">
        <f>Tracker!C29</f>
        <v>Customer complaints to the regulator</v>
      </c>
      <c r="D29" s="15" t="str">
        <f>Tracker!D29</f>
        <v>Risk and compliance</v>
      </c>
      <c r="E29" s="15" t="str">
        <f>Tracker!G29</f>
        <v>Chief Risk Officer</v>
      </c>
      <c r="F29" s="35" t="str">
        <f>Calc!B29</f>
        <v>G</v>
      </c>
      <c r="G29" s="35" t="str">
        <f>Calc!C29</f>
        <v>G</v>
      </c>
      <c r="H29" s="35" t="str">
        <f>Calc!D29</f>
        <v>G</v>
      </c>
      <c r="I29" s="35" t="str">
        <f>Calc!E29</f>
        <v>A</v>
      </c>
      <c r="J29" s="35" t="str">
        <f>Calc!F29</f>
        <v>G</v>
      </c>
      <c r="K29" s="35" t="str">
        <f>Calc!G29</f>
        <v>G</v>
      </c>
      <c r="L29" s="35" t="str">
        <f>Calc!H29</f>
        <v>A</v>
      </c>
      <c r="M29" s="35" t="str">
        <f>Calc!I29</f>
        <v>A</v>
      </c>
      <c r="N29" s="35" t="str">
        <f>Calc!J29</f>
        <v>R</v>
      </c>
      <c r="O29" s="35" t="str">
        <f>Calc!K29</f>
        <v/>
      </c>
      <c r="P29" s="35" t="str">
        <f>Calc!L29</f>
        <v/>
      </c>
      <c r="Q29" s="35" t="str">
        <f>Calc!M29</f>
        <v/>
      </c>
      <c r="R29" s="32" t="str">
        <f>Tracker!Z29</f>
        <v>Red</v>
      </c>
      <c r="S29" s="30">
        <f t="shared" si="0"/>
        <v>1</v>
      </c>
      <c r="T29" s="30">
        <f t="shared" si="1"/>
        <v>5</v>
      </c>
    </row>
    <row r="30" spans="1:20" x14ac:dyDescent="0.45">
      <c r="A30" s="15" t="str">
        <f>Tracker!A30</f>
        <v/>
      </c>
      <c r="B30" s="15" t="str">
        <f>Tracker!B30</f>
        <v/>
      </c>
      <c r="C30" s="15" t="str">
        <f>Tracker!C30</f>
        <v/>
      </c>
      <c r="D30" s="15" t="str">
        <f>Tracker!D30</f>
        <v/>
      </c>
      <c r="E30" s="15" t="str">
        <f>Tracker!G30</f>
        <v/>
      </c>
      <c r="F30" s="35" t="str">
        <f>Calc!B30</f>
        <v/>
      </c>
      <c r="G30" s="35" t="str">
        <f>Calc!C30</f>
        <v/>
      </c>
      <c r="H30" s="35" t="str">
        <f>Calc!D30</f>
        <v/>
      </c>
      <c r="I30" s="35" t="str">
        <f>Calc!E30</f>
        <v/>
      </c>
      <c r="J30" s="35" t="str">
        <f>Calc!F30</f>
        <v/>
      </c>
      <c r="K30" s="35" t="str">
        <f>Calc!G30</f>
        <v/>
      </c>
      <c r="L30" s="35" t="str">
        <f>Calc!H30</f>
        <v/>
      </c>
      <c r="M30" s="35" t="str">
        <f>Calc!I30</f>
        <v/>
      </c>
      <c r="N30" s="35" t="str">
        <f>Calc!J30</f>
        <v/>
      </c>
      <c r="O30" s="35" t="str">
        <f>Calc!K30</f>
        <v/>
      </c>
      <c r="P30" s="35" t="str">
        <f>Calc!L30</f>
        <v/>
      </c>
      <c r="Q30" s="35" t="str">
        <f>Calc!M30</f>
        <v/>
      </c>
      <c r="R30" s="32" t="str">
        <f>Tracker!Z30</f>
        <v/>
      </c>
      <c r="S30" s="30" t="str">
        <f t="shared" si="0"/>
        <v/>
      </c>
      <c r="T30" s="30" t="str">
        <f t="shared" si="1"/>
        <v/>
      </c>
    </row>
    <row r="31" spans="1:20" x14ac:dyDescent="0.45">
      <c r="A31" s="15" t="str">
        <f>Tracker!A31</f>
        <v/>
      </c>
      <c r="B31" s="15" t="str">
        <f>Tracker!B31</f>
        <v/>
      </c>
      <c r="C31" s="15" t="str">
        <f>Tracker!C31</f>
        <v/>
      </c>
      <c r="D31" s="15" t="str">
        <f>Tracker!D31</f>
        <v/>
      </c>
      <c r="E31" s="15" t="str">
        <f>Tracker!G31</f>
        <v/>
      </c>
      <c r="F31" s="35" t="str">
        <f>Calc!B31</f>
        <v/>
      </c>
      <c r="G31" s="35" t="str">
        <f>Calc!C31</f>
        <v/>
      </c>
      <c r="H31" s="35" t="str">
        <f>Calc!D31</f>
        <v/>
      </c>
      <c r="I31" s="35" t="str">
        <f>Calc!E31</f>
        <v/>
      </c>
      <c r="J31" s="35" t="str">
        <f>Calc!F31</f>
        <v/>
      </c>
      <c r="K31" s="35" t="str">
        <f>Calc!G31</f>
        <v/>
      </c>
      <c r="L31" s="35" t="str">
        <f>Calc!H31</f>
        <v/>
      </c>
      <c r="M31" s="35" t="str">
        <f>Calc!I31</f>
        <v/>
      </c>
      <c r="N31" s="35" t="str">
        <f>Calc!J31</f>
        <v/>
      </c>
      <c r="O31" s="35" t="str">
        <f>Calc!K31</f>
        <v/>
      </c>
      <c r="P31" s="35" t="str">
        <f>Calc!L31</f>
        <v/>
      </c>
      <c r="Q31" s="35" t="str">
        <f>Calc!M31</f>
        <v/>
      </c>
      <c r="R31" s="32" t="str">
        <f>Tracker!Z31</f>
        <v/>
      </c>
      <c r="S31" s="30" t="str">
        <f t="shared" si="0"/>
        <v/>
      </c>
      <c r="T31" s="30" t="str">
        <f t="shared" si="1"/>
        <v/>
      </c>
    </row>
    <row r="32" spans="1:20" x14ac:dyDescent="0.45">
      <c r="A32" s="15" t="str">
        <f>Tracker!A32</f>
        <v/>
      </c>
      <c r="B32" s="15" t="str">
        <f>Tracker!B32</f>
        <v/>
      </c>
      <c r="C32" s="15" t="str">
        <f>Tracker!C32</f>
        <v/>
      </c>
      <c r="D32" s="15" t="str">
        <f>Tracker!D32</f>
        <v/>
      </c>
      <c r="E32" s="15" t="str">
        <f>Tracker!G32</f>
        <v/>
      </c>
      <c r="F32" s="35" t="str">
        <f>Calc!B32</f>
        <v/>
      </c>
      <c r="G32" s="35" t="str">
        <f>Calc!C32</f>
        <v/>
      </c>
      <c r="H32" s="35" t="str">
        <f>Calc!D32</f>
        <v/>
      </c>
      <c r="I32" s="35" t="str">
        <f>Calc!E32</f>
        <v/>
      </c>
      <c r="J32" s="35" t="str">
        <f>Calc!F32</f>
        <v/>
      </c>
      <c r="K32" s="35" t="str">
        <f>Calc!G32</f>
        <v/>
      </c>
      <c r="L32" s="35" t="str">
        <f>Calc!H32</f>
        <v/>
      </c>
      <c r="M32" s="35" t="str">
        <f>Calc!I32</f>
        <v/>
      </c>
      <c r="N32" s="35" t="str">
        <f>Calc!J32</f>
        <v/>
      </c>
      <c r="O32" s="35" t="str">
        <f>Calc!K32</f>
        <v/>
      </c>
      <c r="P32" s="35" t="str">
        <f>Calc!L32</f>
        <v/>
      </c>
      <c r="Q32" s="35" t="str">
        <f>Calc!M32</f>
        <v/>
      </c>
      <c r="R32" s="32" t="str">
        <f>Tracker!Z32</f>
        <v/>
      </c>
      <c r="S32" s="30" t="str">
        <f t="shared" si="0"/>
        <v/>
      </c>
      <c r="T32" s="30" t="str">
        <f t="shared" si="1"/>
        <v/>
      </c>
    </row>
    <row r="33" spans="1:20" x14ac:dyDescent="0.45">
      <c r="A33" s="15" t="str">
        <f>Tracker!A33</f>
        <v/>
      </c>
      <c r="B33" s="15" t="str">
        <f>Tracker!B33</f>
        <v/>
      </c>
      <c r="C33" s="15" t="str">
        <f>Tracker!C33</f>
        <v/>
      </c>
      <c r="D33" s="15" t="str">
        <f>Tracker!D33</f>
        <v/>
      </c>
      <c r="E33" s="15" t="str">
        <f>Tracker!G33</f>
        <v/>
      </c>
      <c r="F33" s="35" t="str">
        <f>Calc!B33</f>
        <v/>
      </c>
      <c r="G33" s="35" t="str">
        <f>Calc!C33</f>
        <v/>
      </c>
      <c r="H33" s="35" t="str">
        <f>Calc!D33</f>
        <v/>
      </c>
      <c r="I33" s="35" t="str">
        <f>Calc!E33</f>
        <v/>
      </c>
      <c r="J33" s="35" t="str">
        <f>Calc!F33</f>
        <v/>
      </c>
      <c r="K33" s="35" t="str">
        <f>Calc!G33</f>
        <v/>
      </c>
      <c r="L33" s="35" t="str">
        <f>Calc!H33</f>
        <v/>
      </c>
      <c r="M33" s="35" t="str">
        <f>Calc!I33</f>
        <v/>
      </c>
      <c r="N33" s="35" t="str">
        <f>Calc!J33</f>
        <v/>
      </c>
      <c r="O33" s="35" t="str">
        <f>Calc!K33</f>
        <v/>
      </c>
      <c r="P33" s="35" t="str">
        <f>Calc!L33</f>
        <v/>
      </c>
      <c r="Q33" s="35" t="str">
        <f>Calc!M33</f>
        <v/>
      </c>
      <c r="R33" s="32" t="str">
        <f>Tracker!Z33</f>
        <v/>
      </c>
      <c r="S33" s="30" t="str">
        <f t="shared" si="0"/>
        <v/>
      </c>
      <c r="T33" s="30" t="str">
        <f t="shared" si="1"/>
        <v/>
      </c>
    </row>
    <row r="34" spans="1:20" x14ac:dyDescent="0.45">
      <c r="A34" s="15" t="str">
        <f>Tracker!A34</f>
        <v/>
      </c>
      <c r="B34" s="15" t="str">
        <f>Tracker!B34</f>
        <v/>
      </c>
      <c r="C34" s="15" t="str">
        <f>Tracker!C34</f>
        <v/>
      </c>
      <c r="D34" s="15" t="str">
        <f>Tracker!D34</f>
        <v/>
      </c>
      <c r="E34" s="15" t="str">
        <f>Tracker!G34</f>
        <v/>
      </c>
      <c r="F34" s="35" t="str">
        <f>Calc!B34</f>
        <v/>
      </c>
      <c r="G34" s="35" t="str">
        <f>Calc!C34</f>
        <v/>
      </c>
      <c r="H34" s="35" t="str">
        <f>Calc!D34</f>
        <v/>
      </c>
      <c r="I34" s="35" t="str">
        <f>Calc!E34</f>
        <v/>
      </c>
      <c r="J34" s="35" t="str">
        <f>Calc!F34</f>
        <v/>
      </c>
      <c r="K34" s="35" t="str">
        <f>Calc!G34</f>
        <v/>
      </c>
      <c r="L34" s="35" t="str">
        <f>Calc!H34</f>
        <v/>
      </c>
      <c r="M34" s="35" t="str">
        <f>Calc!I34</f>
        <v/>
      </c>
      <c r="N34" s="35" t="str">
        <f>Calc!J34</f>
        <v/>
      </c>
      <c r="O34" s="35" t="str">
        <f>Calc!K34</f>
        <v/>
      </c>
      <c r="P34" s="35" t="str">
        <f>Calc!L34</f>
        <v/>
      </c>
      <c r="Q34" s="35" t="str">
        <f>Calc!M34</f>
        <v/>
      </c>
      <c r="R34" s="32" t="str">
        <f>Tracker!Z34</f>
        <v/>
      </c>
      <c r="S34" s="30" t="str">
        <f t="shared" si="0"/>
        <v/>
      </c>
      <c r="T34" s="30" t="str">
        <f t="shared" si="1"/>
        <v/>
      </c>
    </row>
    <row r="35" spans="1:20" x14ac:dyDescent="0.45">
      <c r="A35" s="15" t="str">
        <f>Tracker!A35</f>
        <v/>
      </c>
      <c r="B35" s="15" t="str">
        <f>Tracker!B35</f>
        <v/>
      </c>
      <c r="C35" s="15" t="str">
        <f>Tracker!C35</f>
        <v/>
      </c>
      <c r="D35" s="15" t="str">
        <f>Tracker!D35</f>
        <v/>
      </c>
      <c r="E35" s="15" t="str">
        <f>Tracker!G35</f>
        <v/>
      </c>
      <c r="F35" s="35" t="str">
        <f>Calc!B35</f>
        <v/>
      </c>
      <c r="G35" s="35" t="str">
        <f>Calc!C35</f>
        <v/>
      </c>
      <c r="H35" s="35" t="str">
        <f>Calc!D35</f>
        <v/>
      </c>
      <c r="I35" s="35" t="str">
        <f>Calc!E35</f>
        <v/>
      </c>
      <c r="J35" s="35" t="str">
        <f>Calc!F35</f>
        <v/>
      </c>
      <c r="K35" s="35" t="str">
        <f>Calc!G35</f>
        <v/>
      </c>
      <c r="L35" s="35" t="str">
        <f>Calc!H35</f>
        <v/>
      </c>
      <c r="M35" s="35" t="str">
        <f>Calc!I35</f>
        <v/>
      </c>
      <c r="N35" s="35" t="str">
        <f>Calc!J35</f>
        <v/>
      </c>
      <c r="O35" s="35" t="str">
        <f>Calc!K35</f>
        <v/>
      </c>
      <c r="P35" s="35" t="str">
        <f>Calc!L35</f>
        <v/>
      </c>
      <c r="Q35" s="35" t="str">
        <f>Calc!M35</f>
        <v/>
      </c>
      <c r="R35" s="32" t="str">
        <f>Tracker!Z35</f>
        <v/>
      </c>
      <c r="S35" s="30" t="str">
        <f t="shared" si="0"/>
        <v/>
      </c>
      <c r="T35" s="30" t="str">
        <f t="shared" si="1"/>
        <v/>
      </c>
    </row>
    <row r="36" spans="1:20" x14ac:dyDescent="0.45">
      <c r="A36" s="15" t="str">
        <f>Tracker!A36</f>
        <v/>
      </c>
      <c r="B36" s="15" t="str">
        <f>Tracker!B36</f>
        <v/>
      </c>
      <c r="C36" s="15" t="str">
        <f>Tracker!C36</f>
        <v/>
      </c>
      <c r="D36" s="15" t="str">
        <f>Tracker!D36</f>
        <v/>
      </c>
      <c r="E36" s="15" t="str">
        <f>Tracker!G36</f>
        <v/>
      </c>
      <c r="F36" s="35" t="str">
        <f>Calc!B36</f>
        <v/>
      </c>
      <c r="G36" s="35" t="str">
        <f>Calc!C36</f>
        <v/>
      </c>
      <c r="H36" s="35" t="str">
        <f>Calc!D36</f>
        <v/>
      </c>
      <c r="I36" s="35" t="str">
        <f>Calc!E36</f>
        <v/>
      </c>
      <c r="J36" s="35" t="str">
        <f>Calc!F36</f>
        <v/>
      </c>
      <c r="K36" s="35" t="str">
        <f>Calc!G36</f>
        <v/>
      </c>
      <c r="L36" s="35" t="str">
        <f>Calc!H36</f>
        <v/>
      </c>
      <c r="M36" s="35" t="str">
        <f>Calc!I36</f>
        <v/>
      </c>
      <c r="N36" s="35" t="str">
        <f>Calc!J36</f>
        <v/>
      </c>
      <c r="O36" s="35" t="str">
        <f>Calc!K36</f>
        <v/>
      </c>
      <c r="P36" s="35" t="str">
        <f>Calc!L36</f>
        <v/>
      </c>
      <c r="Q36" s="35" t="str">
        <f>Calc!M36</f>
        <v/>
      </c>
      <c r="R36" s="32" t="str">
        <f>Tracker!Z36</f>
        <v/>
      </c>
      <c r="S36" s="30" t="str">
        <f t="shared" si="0"/>
        <v/>
      </c>
      <c r="T36" s="30" t="str">
        <f t="shared" si="1"/>
        <v/>
      </c>
    </row>
    <row r="37" spans="1:20" x14ac:dyDescent="0.45">
      <c r="A37" s="15" t="str">
        <f>Tracker!A37</f>
        <v/>
      </c>
      <c r="B37" s="15" t="str">
        <f>Tracker!B37</f>
        <v/>
      </c>
      <c r="C37" s="15" t="str">
        <f>Tracker!C37</f>
        <v/>
      </c>
      <c r="D37" s="15" t="str">
        <f>Tracker!D37</f>
        <v/>
      </c>
      <c r="E37" s="15" t="str">
        <f>Tracker!G37</f>
        <v/>
      </c>
      <c r="F37" s="35" t="str">
        <f>Calc!B37</f>
        <v/>
      </c>
      <c r="G37" s="35" t="str">
        <f>Calc!C37</f>
        <v/>
      </c>
      <c r="H37" s="35" t="str">
        <f>Calc!D37</f>
        <v/>
      </c>
      <c r="I37" s="35" t="str">
        <f>Calc!E37</f>
        <v/>
      </c>
      <c r="J37" s="35" t="str">
        <f>Calc!F37</f>
        <v/>
      </c>
      <c r="K37" s="35" t="str">
        <f>Calc!G37</f>
        <v/>
      </c>
      <c r="L37" s="35" t="str">
        <f>Calc!H37</f>
        <v/>
      </c>
      <c r="M37" s="35" t="str">
        <f>Calc!I37</f>
        <v/>
      </c>
      <c r="N37" s="35" t="str">
        <f>Calc!J37</f>
        <v/>
      </c>
      <c r="O37" s="35" t="str">
        <f>Calc!K37</f>
        <v/>
      </c>
      <c r="P37" s="35" t="str">
        <f>Calc!L37</f>
        <v/>
      </c>
      <c r="Q37" s="35" t="str">
        <f>Calc!M37</f>
        <v/>
      </c>
      <c r="R37" s="32" t="str">
        <f>Tracker!Z37</f>
        <v/>
      </c>
      <c r="S37" s="30" t="str">
        <f t="shared" si="0"/>
        <v/>
      </c>
      <c r="T37" s="30" t="str">
        <f t="shared" si="1"/>
        <v/>
      </c>
    </row>
    <row r="38" spans="1:20" x14ac:dyDescent="0.45">
      <c r="A38" s="15" t="str">
        <f>Tracker!A38</f>
        <v/>
      </c>
      <c r="B38" s="15" t="str">
        <f>Tracker!B38</f>
        <v/>
      </c>
      <c r="C38" s="15" t="str">
        <f>Tracker!C38</f>
        <v/>
      </c>
      <c r="D38" s="15" t="str">
        <f>Tracker!D38</f>
        <v/>
      </c>
      <c r="E38" s="15" t="str">
        <f>Tracker!G38</f>
        <v/>
      </c>
      <c r="F38" s="35" t="str">
        <f>Calc!B38</f>
        <v/>
      </c>
      <c r="G38" s="35" t="str">
        <f>Calc!C38</f>
        <v/>
      </c>
      <c r="H38" s="35" t="str">
        <f>Calc!D38</f>
        <v/>
      </c>
      <c r="I38" s="35" t="str">
        <f>Calc!E38</f>
        <v/>
      </c>
      <c r="J38" s="35" t="str">
        <f>Calc!F38</f>
        <v/>
      </c>
      <c r="K38" s="35" t="str">
        <f>Calc!G38</f>
        <v/>
      </c>
      <c r="L38" s="35" t="str">
        <f>Calc!H38</f>
        <v/>
      </c>
      <c r="M38" s="35" t="str">
        <f>Calc!I38</f>
        <v/>
      </c>
      <c r="N38" s="35" t="str">
        <f>Calc!J38</f>
        <v/>
      </c>
      <c r="O38" s="35" t="str">
        <f>Calc!K38</f>
        <v/>
      </c>
      <c r="P38" s="35" t="str">
        <f>Calc!L38</f>
        <v/>
      </c>
      <c r="Q38" s="35" t="str">
        <f>Calc!M38</f>
        <v/>
      </c>
      <c r="R38" s="32" t="str">
        <f>Tracker!Z38</f>
        <v/>
      </c>
      <c r="S38" s="30" t="str">
        <f t="shared" ref="S38:S65" si="2">IF($A38="","",COUNTIF(F38:Q38,"R"))</f>
        <v/>
      </c>
      <c r="T38" s="30" t="str">
        <f t="shared" ref="T38:T65" si="3">IF($A38="","",COUNTIF(F38:Q38,"G"))</f>
        <v/>
      </c>
    </row>
    <row r="39" spans="1:20" x14ac:dyDescent="0.45">
      <c r="A39" s="15" t="str">
        <f>Tracker!A39</f>
        <v/>
      </c>
      <c r="B39" s="15" t="str">
        <f>Tracker!B39</f>
        <v/>
      </c>
      <c r="C39" s="15" t="str">
        <f>Tracker!C39</f>
        <v/>
      </c>
      <c r="D39" s="15" t="str">
        <f>Tracker!D39</f>
        <v/>
      </c>
      <c r="E39" s="15" t="str">
        <f>Tracker!G39</f>
        <v/>
      </c>
      <c r="F39" s="35" t="str">
        <f>Calc!B39</f>
        <v/>
      </c>
      <c r="G39" s="35" t="str">
        <f>Calc!C39</f>
        <v/>
      </c>
      <c r="H39" s="35" t="str">
        <f>Calc!D39</f>
        <v/>
      </c>
      <c r="I39" s="35" t="str">
        <f>Calc!E39</f>
        <v/>
      </c>
      <c r="J39" s="35" t="str">
        <f>Calc!F39</f>
        <v/>
      </c>
      <c r="K39" s="35" t="str">
        <f>Calc!G39</f>
        <v/>
      </c>
      <c r="L39" s="35" t="str">
        <f>Calc!H39</f>
        <v/>
      </c>
      <c r="M39" s="35" t="str">
        <f>Calc!I39</f>
        <v/>
      </c>
      <c r="N39" s="35" t="str">
        <f>Calc!J39</f>
        <v/>
      </c>
      <c r="O39" s="35" t="str">
        <f>Calc!K39</f>
        <v/>
      </c>
      <c r="P39" s="35" t="str">
        <f>Calc!L39</f>
        <v/>
      </c>
      <c r="Q39" s="35" t="str">
        <f>Calc!M39</f>
        <v/>
      </c>
      <c r="R39" s="32" t="str">
        <f>Tracker!Z39</f>
        <v/>
      </c>
      <c r="S39" s="30" t="str">
        <f t="shared" si="2"/>
        <v/>
      </c>
      <c r="T39" s="30" t="str">
        <f t="shared" si="3"/>
        <v/>
      </c>
    </row>
    <row r="40" spans="1:20" x14ac:dyDescent="0.45">
      <c r="A40" s="15" t="str">
        <f>Tracker!A40</f>
        <v/>
      </c>
      <c r="B40" s="15" t="str">
        <f>Tracker!B40</f>
        <v/>
      </c>
      <c r="C40" s="15" t="str">
        <f>Tracker!C40</f>
        <v/>
      </c>
      <c r="D40" s="15" t="str">
        <f>Tracker!D40</f>
        <v/>
      </c>
      <c r="E40" s="15" t="str">
        <f>Tracker!G40</f>
        <v/>
      </c>
      <c r="F40" s="35" t="str">
        <f>Calc!B40</f>
        <v/>
      </c>
      <c r="G40" s="35" t="str">
        <f>Calc!C40</f>
        <v/>
      </c>
      <c r="H40" s="35" t="str">
        <f>Calc!D40</f>
        <v/>
      </c>
      <c r="I40" s="35" t="str">
        <f>Calc!E40</f>
        <v/>
      </c>
      <c r="J40" s="35" t="str">
        <f>Calc!F40</f>
        <v/>
      </c>
      <c r="K40" s="35" t="str">
        <f>Calc!G40</f>
        <v/>
      </c>
      <c r="L40" s="35" t="str">
        <f>Calc!H40</f>
        <v/>
      </c>
      <c r="M40" s="35" t="str">
        <f>Calc!I40</f>
        <v/>
      </c>
      <c r="N40" s="35" t="str">
        <f>Calc!J40</f>
        <v/>
      </c>
      <c r="O40" s="35" t="str">
        <f>Calc!K40</f>
        <v/>
      </c>
      <c r="P40" s="35" t="str">
        <f>Calc!L40</f>
        <v/>
      </c>
      <c r="Q40" s="35" t="str">
        <f>Calc!M40</f>
        <v/>
      </c>
      <c r="R40" s="32" t="str">
        <f>Tracker!Z40</f>
        <v/>
      </c>
      <c r="S40" s="30" t="str">
        <f t="shared" si="2"/>
        <v/>
      </c>
      <c r="T40" s="30" t="str">
        <f t="shared" si="3"/>
        <v/>
      </c>
    </row>
    <row r="41" spans="1:20" x14ac:dyDescent="0.45">
      <c r="A41" s="15" t="str">
        <f>Tracker!A41</f>
        <v/>
      </c>
      <c r="B41" s="15" t="str">
        <f>Tracker!B41</f>
        <v/>
      </c>
      <c r="C41" s="15" t="str">
        <f>Tracker!C41</f>
        <v/>
      </c>
      <c r="D41" s="15" t="str">
        <f>Tracker!D41</f>
        <v/>
      </c>
      <c r="E41" s="15" t="str">
        <f>Tracker!G41</f>
        <v/>
      </c>
      <c r="F41" s="35" t="str">
        <f>Calc!B41</f>
        <v/>
      </c>
      <c r="G41" s="35" t="str">
        <f>Calc!C41</f>
        <v/>
      </c>
      <c r="H41" s="35" t="str">
        <f>Calc!D41</f>
        <v/>
      </c>
      <c r="I41" s="35" t="str">
        <f>Calc!E41</f>
        <v/>
      </c>
      <c r="J41" s="35" t="str">
        <f>Calc!F41</f>
        <v/>
      </c>
      <c r="K41" s="35" t="str">
        <f>Calc!G41</f>
        <v/>
      </c>
      <c r="L41" s="35" t="str">
        <f>Calc!H41</f>
        <v/>
      </c>
      <c r="M41" s="35" t="str">
        <f>Calc!I41</f>
        <v/>
      </c>
      <c r="N41" s="35" t="str">
        <f>Calc!J41</f>
        <v/>
      </c>
      <c r="O41" s="35" t="str">
        <f>Calc!K41</f>
        <v/>
      </c>
      <c r="P41" s="35" t="str">
        <f>Calc!L41</f>
        <v/>
      </c>
      <c r="Q41" s="35" t="str">
        <f>Calc!M41</f>
        <v/>
      </c>
      <c r="R41" s="32" t="str">
        <f>Tracker!Z41</f>
        <v/>
      </c>
      <c r="S41" s="30" t="str">
        <f t="shared" si="2"/>
        <v/>
      </c>
      <c r="T41" s="30" t="str">
        <f t="shared" si="3"/>
        <v/>
      </c>
    </row>
    <row r="42" spans="1:20" x14ac:dyDescent="0.45">
      <c r="A42" s="15" t="str">
        <f>Tracker!A42</f>
        <v/>
      </c>
      <c r="B42" s="15" t="str">
        <f>Tracker!B42</f>
        <v/>
      </c>
      <c r="C42" s="15" t="str">
        <f>Tracker!C42</f>
        <v/>
      </c>
      <c r="D42" s="15" t="str">
        <f>Tracker!D42</f>
        <v/>
      </c>
      <c r="E42" s="15" t="str">
        <f>Tracker!G42</f>
        <v/>
      </c>
      <c r="F42" s="35" t="str">
        <f>Calc!B42</f>
        <v/>
      </c>
      <c r="G42" s="35" t="str">
        <f>Calc!C42</f>
        <v/>
      </c>
      <c r="H42" s="35" t="str">
        <f>Calc!D42</f>
        <v/>
      </c>
      <c r="I42" s="35" t="str">
        <f>Calc!E42</f>
        <v/>
      </c>
      <c r="J42" s="35" t="str">
        <f>Calc!F42</f>
        <v/>
      </c>
      <c r="K42" s="35" t="str">
        <f>Calc!G42</f>
        <v/>
      </c>
      <c r="L42" s="35" t="str">
        <f>Calc!H42</f>
        <v/>
      </c>
      <c r="M42" s="35" t="str">
        <f>Calc!I42</f>
        <v/>
      </c>
      <c r="N42" s="35" t="str">
        <f>Calc!J42</f>
        <v/>
      </c>
      <c r="O42" s="35" t="str">
        <f>Calc!K42</f>
        <v/>
      </c>
      <c r="P42" s="35" t="str">
        <f>Calc!L42</f>
        <v/>
      </c>
      <c r="Q42" s="35" t="str">
        <f>Calc!M42</f>
        <v/>
      </c>
      <c r="R42" s="32" t="str">
        <f>Tracker!Z42</f>
        <v/>
      </c>
      <c r="S42" s="30" t="str">
        <f t="shared" si="2"/>
        <v/>
      </c>
      <c r="T42" s="30" t="str">
        <f t="shared" si="3"/>
        <v/>
      </c>
    </row>
    <row r="43" spans="1:20" x14ac:dyDescent="0.45">
      <c r="A43" s="15" t="str">
        <f>Tracker!A43</f>
        <v/>
      </c>
      <c r="B43" s="15" t="str">
        <f>Tracker!B43</f>
        <v/>
      </c>
      <c r="C43" s="15" t="str">
        <f>Tracker!C43</f>
        <v/>
      </c>
      <c r="D43" s="15" t="str">
        <f>Tracker!D43</f>
        <v/>
      </c>
      <c r="E43" s="15" t="str">
        <f>Tracker!G43</f>
        <v/>
      </c>
      <c r="F43" s="35" t="str">
        <f>Calc!B43</f>
        <v/>
      </c>
      <c r="G43" s="35" t="str">
        <f>Calc!C43</f>
        <v/>
      </c>
      <c r="H43" s="35" t="str">
        <f>Calc!D43</f>
        <v/>
      </c>
      <c r="I43" s="35" t="str">
        <f>Calc!E43</f>
        <v/>
      </c>
      <c r="J43" s="35" t="str">
        <f>Calc!F43</f>
        <v/>
      </c>
      <c r="K43" s="35" t="str">
        <f>Calc!G43</f>
        <v/>
      </c>
      <c r="L43" s="35" t="str">
        <f>Calc!H43</f>
        <v/>
      </c>
      <c r="M43" s="35" t="str">
        <f>Calc!I43</f>
        <v/>
      </c>
      <c r="N43" s="35" t="str">
        <f>Calc!J43</f>
        <v/>
      </c>
      <c r="O43" s="35" t="str">
        <f>Calc!K43</f>
        <v/>
      </c>
      <c r="P43" s="35" t="str">
        <f>Calc!L43</f>
        <v/>
      </c>
      <c r="Q43" s="35" t="str">
        <f>Calc!M43</f>
        <v/>
      </c>
      <c r="R43" s="32" t="str">
        <f>Tracker!Z43</f>
        <v/>
      </c>
      <c r="S43" s="30" t="str">
        <f t="shared" si="2"/>
        <v/>
      </c>
      <c r="T43" s="30" t="str">
        <f t="shared" si="3"/>
        <v/>
      </c>
    </row>
    <row r="44" spans="1:20" x14ac:dyDescent="0.45">
      <c r="A44" s="15" t="str">
        <f>Tracker!A44</f>
        <v/>
      </c>
      <c r="B44" s="15" t="str">
        <f>Tracker!B44</f>
        <v/>
      </c>
      <c r="C44" s="15" t="str">
        <f>Tracker!C44</f>
        <v/>
      </c>
      <c r="D44" s="15" t="str">
        <f>Tracker!D44</f>
        <v/>
      </c>
      <c r="E44" s="15" t="str">
        <f>Tracker!G44</f>
        <v/>
      </c>
      <c r="F44" s="35" t="str">
        <f>Calc!B44</f>
        <v/>
      </c>
      <c r="G44" s="35" t="str">
        <f>Calc!C44</f>
        <v/>
      </c>
      <c r="H44" s="35" t="str">
        <f>Calc!D44</f>
        <v/>
      </c>
      <c r="I44" s="35" t="str">
        <f>Calc!E44</f>
        <v/>
      </c>
      <c r="J44" s="35" t="str">
        <f>Calc!F44</f>
        <v/>
      </c>
      <c r="K44" s="35" t="str">
        <f>Calc!G44</f>
        <v/>
      </c>
      <c r="L44" s="35" t="str">
        <f>Calc!H44</f>
        <v/>
      </c>
      <c r="M44" s="35" t="str">
        <f>Calc!I44</f>
        <v/>
      </c>
      <c r="N44" s="35" t="str">
        <f>Calc!J44</f>
        <v/>
      </c>
      <c r="O44" s="35" t="str">
        <f>Calc!K44</f>
        <v/>
      </c>
      <c r="P44" s="35" t="str">
        <f>Calc!L44</f>
        <v/>
      </c>
      <c r="Q44" s="35" t="str">
        <f>Calc!M44</f>
        <v/>
      </c>
      <c r="R44" s="32" t="str">
        <f>Tracker!Z44</f>
        <v/>
      </c>
      <c r="S44" s="30" t="str">
        <f t="shared" si="2"/>
        <v/>
      </c>
      <c r="T44" s="30" t="str">
        <f t="shared" si="3"/>
        <v/>
      </c>
    </row>
    <row r="45" spans="1:20" x14ac:dyDescent="0.45">
      <c r="A45" s="15" t="str">
        <f>Tracker!A45</f>
        <v/>
      </c>
      <c r="B45" s="15" t="str">
        <f>Tracker!B45</f>
        <v/>
      </c>
      <c r="C45" s="15" t="str">
        <f>Tracker!C45</f>
        <v/>
      </c>
      <c r="D45" s="15" t="str">
        <f>Tracker!D45</f>
        <v/>
      </c>
      <c r="E45" s="15" t="str">
        <f>Tracker!G45</f>
        <v/>
      </c>
      <c r="F45" s="35" t="str">
        <f>Calc!B45</f>
        <v/>
      </c>
      <c r="G45" s="35" t="str">
        <f>Calc!C45</f>
        <v/>
      </c>
      <c r="H45" s="35" t="str">
        <f>Calc!D45</f>
        <v/>
      </c>
      <c r="I45" s="35" t="str">
        <f>Calc!E45</f>
        <v/>
      </c>
      <c r="J45" s="35" t="str">
        <f>Calc!F45</f>
        <v/>
      </c>
      <c r="K45" s="35" t="str">
        <f>Calc!G45</f>
        <v/>
      </c>
      <c r="L45" s="35" t="str">
        <f>Calc!H45</f>
        <v/>
      </c>
      <c r="M45" s="35" t="str">
        <f>Calc!I45</f>
        <v/>
      </c>
      <c r="N45" s="35" t="str">
        <f>Calc!J45</f>
        <v/>
      </c>
      <c r="O45" s="35" t="str">
        <f>Calc!K45</f>
        <v/>
      </c>
      <c r="P45" s="35" t="str">
        <f>Calc!L45</f>
        <v/>
      </c>
      <c r="Q45" s="35" t="str">
        <f>Calc!M45</f>
        <v/>
      </c>
      <c r="R45" s="32" t="str">
        <f>Tracker!Z45</f>
        <v/>
      </c>
      <c r="S45" s="30" t="str">
        <f t="shared" si="2"/>
        <v/>
      </c>
      <c r="T45" s="30" t="str">
        <f t="shared" si="3"/>
        <v/>
      </c>
    </row>
    <row r="46" spans="1:20" x14ac:dyDescent="0.45">
      <c r="A46" s="15" t="str">
        <f>Tracker!A46</f>
        <v/>
      </c>
      <c r="B46" s="15" t="str">
        <f>Tracker!B46</f>
        <v/>
      </c>
      <c r="C46" s="15" t="str">
        <f>Tracker!C46</f>
        <v/>
      </c>
      <c r="D46" s="15" t="str">
        <f>Tracker!D46</f>
        <v/>
      </c>
      <c r="E46" s="15" t="str">
        <f>Tracker!G46</f>
        <v/>
      </c>
      <c r="F46" s="35" t="str">
        <f>Calc!B46</f>
        <v/>
      </c>
      <c r="G46" s="35" t="str">
        <f>Calc!C46</f>
        <v/>
      </c>
      <c r="H46" s="35" t="str">
        <f>Calc!D46</f>
        <v/>
      </c>
      <c r="I46" s="35" t="str">
        <f>Calc!E46</f>
        <v/>
      </c>
      <c r="J46" s="35" t="str">
        <f>Calc!F46</f>
        <v/>
      </c>
      <c r="K46" s="35" t="str">
        <f>Calc!G46</f>
        <v/>
      </c>
      <c r="L46" s="35" t="str">
        <f>Calc!H46</f>
        <v/>
      </c>
      <c r="M46" s="35" t="str">
        <f>Calc!I46</f>
        <v/>
      </c>
      <c r="N46" s="35" t="str">
        <f>Calc!J46</f>
        <v/>
      </c>
      <c r="O46" s="35" t="str">
        <f>Calc!K46</f>
        <v/>
      </c>
      <c r="P46" s="35" t="str">
        <f>Calc!L46</f>
        <v/>
      </c>
      <c r="Q46" s="35" t="str">
        <f>Calc!M46</f>
        <v/>
      </c>
      <c r="R46" s="32" t="str">
        <f>Tracker!Z46</f>
        <v/>
      </c>
      <c r="S46" s="30" t="str">
        <f t="shared" si="2"/>
        <v/>
      </c>
      <c r="T46" s="30" t="str">
        <f t="shared" si="3"/>
        <v/>
      </c>
    </row>
    <row r="47" spans="1:20" x14ac:dyDescent="0.45">
      <c r="A47" s="15" t="str">
        <f>Tracker!A47</f>
        <v/>
      </c>
      <c r="B47" s="15" t="str">
        <f>Tracker!B47</f>
        <v/>
      </c>
      <c r="C47" s="15" t="str">
        <f>Tracker!C47</f>
        <v/>
      </c>
      <c r="D47" s="15" t="str">
        <f>Tracker!D47</f>
        <v/>
      </c>
      <c r="E47" s="15" t="str">
        <f>Tracker!G47</f>
        <v/>
      </c>
      <c r="F47" s="35" t="str">
        <f>Calc!B47</f>
        <v/>
      </c>
      <c r="G47" s="35" t="str">
        <f>Calc!C47</f>
        <v/>
      </c>
      <c r="H47" s="35" t="str">
        <f>Calc!D47</f>
        <v/>
      </c>
      <c r="I47" s="35" t="str">
        <f>Calc!E47</f>
        <v/>
      </c>
      <c r="J47" s="35" t="str">
        <f>Calc!F47</f>
        <v/>
      </c>
      <c r="K47" s="35" t="str">
        <f>Calc!G47</f>
        <v/>
      </c>
      <c r="L47" s="35" t="str">
        <f>Calc!H47</f>
        <v/>
      </c>
      <c r="M47" s="35" t="str">
        <f>Calc!I47</f>
        <v/>
      </c>
      <c r="N47" s="35" t="str">
        <f>Calc!J47</f>
        <v/>
      </c>
      <c r="O47" s="35" t="str">
        <f>Calc!K47</f>
        <v/>
      </c>
      <c r="P47" s="35" t="str">
        <f>Calc!L47</f>
        <v/>
      </c>
      <c r="Q47" s="35" t="str">
        <f>Calc!M47</f>
        <v/>
      </c>
      <c r="R47" s="32" t="str">
        <f>Tracker!Z47</f>
        <v/>
      </c>
      <c r="S47" s="30" t="str">
        <f t="shared" si="2"/>
        <v/>
      </c>
      <c r="T47" s="30" t="str">
        <f t="shared" si="3"/>
        <v/>
      </c>
    </row>
    <row r="48" spans="1:20" x14ac:dyDescent="0.45">
      <c r="A48" s="15" t="str">
        <f>Tracker!A48</f>
        <v/>
      </c>
      <c r="B48" s="15" t="str">
        <f>Tracker!B48</f>
        <v/>
      </c>
      <c r="C48" s="15" t="str">
        <f>Tracker!C48</f>
        <v/>
      </c>
      <c r="D48" s="15" t="str">
        <f>Tracker!D48</f>
        <v/>
      </c>
      <c r="E48" s="15" t="str">
        <f>Tracker!G48</f>
        <v/>
      </c>
      <c r="F48" s="35" t="str">
        <f>Calc!B48</f>
        <v/>
      </c>
      <c r="G48" s="35" t="str">
        <f>Calc!C48</f>
        <v/>
      </c>
      <c r="H48" s="35" t="str">
        <f>Calc!D48</f>
        <v/>
      </c>
      <c r="I48" s="35" t="str">
        <f>Calc!E48</f>
        <v/>
      </c>
      <c r="J48" s="35" t="str">
        <f>Calc!F48</f>
        <v/>
      </c>
      <c r="K48" s="35" t="str">
        <f>Calc!G48</f>
        <v/>
      </c>
      <c r="L48" s="35" t="str">
        <f>Calc!H48</f>
        <v/>
      </c>
      <c r="M48" s="35" t="str">
        <f>Calc!I48</f>
        <v/>
      </c>
      <c r="N48" s="35" t="str">
        <f>Calc!J48</f>
        <v/>
      </c>
      <c r="O48" s="35" t="str">
        <f>Calc!K48</f>
        <v/>
      </c>
      <c r="P48" s="35" t="str">
        <f>Calc!L48</f>
        <v/>
      </c>
      <c r="Q48" s="35" t="str">
        <f>Calc!M48</f>
        <v/>
      </c>
      <c r="R48" s="32" t="str">
        <f>Tracker!Z48</f>
        <v/>
      </c>
      <c r="S48" s="30" t="str">
        <f t="shared" si="2"/>
        <v/>
      </c>
      <c r="T48" s="30" t="str">
        <f t="shared" si="3"/>
        <v/>
      </c>
    </row>
    <row r="49" spans="1:20" x14ac:dyDescent="0.45">
      <c r="A49" s="15" t="str">
        <f>Tracker!A49</f>
        <v/>
      </c>
      <c r="B49" s="15" t="str">
        <f>Tracker!B49</f>
        <v/>
      </c>
      <c r="C49" s="15" t="str">
        <f>Tracker!C49</f>
        <v/>
      </c>
      <c r="D49" s="15" t="str">
        <f>Tracker!D49</f>
        <v/>
      </c>
      <c r="E49" s="15" t="str">
        <f>Tracker!G49</f>
        <v/>
      </c>
      <c r="F49" s="35" t="str">
        <f>Calc!B49</f>
        <v/>
      </c>
      <c r="G49" s="35" t="str">
        <f>Calc!C49</f>
        <v/>
      </c>
      <c r="H49" s="35" t="str">
        <f>Calc!D49</f>
        <v/>
      </c>
      <c r="I49" s="35" t="str">
        <f>Calc!E49</f>
        <v/>
      </c>
      <c r="J49" s="35" t="str">
        <f>Calc!F49</f>
        <v/>
      </c>
      <c r="K49" s="35" t="str">
        <f>Calc!G49</f>
        <v/>
      </c>
      <c r="L49" s="35" t="str">
        <f>Calc!H49</f>
        <v/>
      </c>
      <c r="M49" s="35" t="str">
        <f>Calc!I49</f>
        <v/>
      </c>
      <c r="N49" s="35" t="str">
        <f>Calc!J49</f>
        <v/>
      </c>
      <c r="O49" s="35" t="str">
        <f>Calc!K49</f>
        <v/>
      </c>
      <c r="P49" s="35" t="str">
        <f>Calc!L49</f>
        <v/>
      </c>
      <c r="Q49" s="35" t="str">
        <f>Calc!M49</f>
        <v/>
      </c>
      <c r="R49" s="32" t="str">
        <f>Tracker!Z49</f>
        <v/>
      </c>
      <c r="S49" s="30" t="str">
        <f t="shared" si="2"/>
        <v/>
      </c>
      <c r="T49" s="30" t="str">
        <f t="shared" si="3"/>
        <v/>
      </c>
    </row>
    <row r="50" spans="1:20" x14ac:dyDescent="0.45">
      <c r="A50" s="15" t="str">
        <f>Tracker!A50</f>
        <v/>
      </c>
      <c r="B50" s="15" t="str">
        <f>Tracker!B50</f>
        <v/>
      </c>
      <c r="C50" s="15" t="str">
        <f>Tracker!C50</f>
        <v/>
      </c>
      <c r="D50" s="15" t="str">
        <f>Tracker!D50</f>
        <v/>
      </c>
      <c r="E50" s="15" t="str">
        <f>Tracker!G50</f>
        <v/>
      </c>
      <c r="F50" s="35" t="str">
        <f>Calc!B50</f>
        <v/>
      </c>
      <c r="G50" s="35" t="str">
        <f>Calc!C50</f>
        <v/>
      </c>
      <c r="H50" s="35" t="str">
        <f>Calc!D50</f>
        <v/>
      </c>
      <c r="I50" s="35" t="str">
        <f>Calc!E50</f>
        <v/>
      </c>
      <c r="J50" s="35" t="str">
        <f>Calc!F50</f>
        <v/>
      </c>
      <c r="K50" s="35" t="str">
        <f>Calc!G50</f>
        <v/>
      </c>
      <c r="L50" s="35" t="str">
        <f>Calc!H50</f>
        <v/>
      </c>
      <c r="M50" s="35" t="str">
        <f>Calc!I50</f>
        <v/>
      </c>
      <c r="N50" s="35" t="str">
        <f>Calc!J50</f>
        <v/>
      </c>
      <c r="O50" s="35" t="str">
        <f>Calc!K50</f>
        <v/>
      </c>
      <c r="P50" s="35" t="str">
        <f>Calc!L50</f>
        <v/>
      </c>
      <c r="Q50" s="35" t="str">
        <f>Calc!M50</f>
        <v/>
      </c>
      <c r="R50" s="32" t="str">
        <f>Tracker!Z50</f>
        <v/>
      </c>
      <c r="S50" s="30" t="str">
        <f t="shared" si="2"/>
        <v/>
      </c>
      <c r="T50" s="30" t="str">
        <f t="shared" si="3"/>
        <v/>
      </c>
    </row>
    <row r="51" spans="1:20" x14ac:dyDescent="0.45">
      <c r="A51" s="15" t="str">
        <f>Tracker!A51</f>
        <v/>
      </c>
      <c r="B51" s="15" t="str">
        <f>Tracker!B51</f>
        <v/>
      </c>
      <c r="C51" s="15" t="str">
        <f>Tracker!C51</f>
        <v/>
      </c>
      <c r="D51" s="15" t="str">
        <f>Tracker!D51</f>
        <v/>
      </c>
      <c r="E51" s="15" t="str">
        <f>Tracker!G51</f>
        <v/>
      </c>
      <c r="F51" s="35" t="str">
        <f>Calc!B51</f>
        <v/>
      </c>
      <c r="G51" s="35" t="str">
        <f>Calc!C51</f>
        <v/>
      </c>
      <c r="H51" s="35" t="str">
        <f>Calc!D51</f>
        <v/>
      </c>
      <c r="I51" s="35" t="str">
        <f>Calc!E51</f>
        <v/>
      </c>
      <c r="J51" s="35" t="str">
        <f>Calc!F51</f>
        <v/>
      </c>
      <c r="K51" s="35" t="str">
        <f>Calc!G51</f>
        <v/>
      </c>
      <c r="L51" s="35" t="str">
        <f>Calc!H51</f>
        <v/>
      </c>
      <c r="M51" s="35" t="str">
        <f>Calc!I51</f>
        <v/>
      </c>
      <c r="N51" s="35" t="str">
        <f>Calc!J51</f>
        <v/>
      </c>
      <c r="O51" s="35" t="str">
        <f>Calc!K51</f>
        <v/>
      </c>
      <c r="P51" s="35" t="str">
        <f>Calc!L51</f>
        <v/>
      </c>
      <c r="Q51" s="35" t="str">
        <f>Calc!M51</f>
        <v/>
      </c>
      <c r="R51" s="32" t="str">
        <f>Tracker!Z51</f>
        <v/>
      </c>
      <c r="S51" s="30" t="str">
        <f t="shared" si="2"/>
        <v/>
      </c>
      <c r="T51" s="30" t="str">
        <f t="shared" si="3"/>
        <v/>
      </c>
    </row>
    <row r="52" spans="1:20" x14ac:dyDescent="0.45">
      <c r="A52" s="15" t="str">
        <f>Tracker!A52</f>
        <v/>
      </c>
      <c r="B52" s="15" t="str">
        <f>Tracker!B52</f>
        <v/>
      </c>
      <c r="C52" s="15" t="str">
        <f>Tracker!C52</f>
        <v/>
      </c>
      <c r="D52" s="15" t="str">
        <f>Tracker!D52</f>
        <v/>
      </c>
      <c r="E52" s="15" t="str">
        <f>Tracker!G52</f>
        <v/>
      </c>
      <c r="F52" s="35" t="str">
        <f>Calc!B52</f>
        <v/>
      </c>
      <c r="G52" s="35" t="str">
        <f>Calc!C52</f>
        <v/>
      </c>
      <c r="H52" s="35" t="str">
        <f>Calc!D52</f>
        <v/>
      </c>
      <c r="I52" s="35" t="str">
        <f>Calc!E52</f>
        <v/>
      </c>
      <c r="J52" s="35" t="str">
        <f>Calc!F52</f>
        <v/>
      </c>
      <c r="K52" s="35" t="str">
        <f>Calc!G52</f>
        <v/>
      </c>
      <c r="L52" s="35" t="str">
        <f>Calc!H52</f>
        <v/>
      </c>
      <c r="M52" s="35" t="str">
        <f>Calc!I52</f>
        <v/>
      </c>
      <c r="N52" s="35" t="str">
        <f>Calc!J52</f>
        <v/>
      </c>
      <c r="O52" s="35" t="str">
        <f>Calc!K52</f>
        <v/>
      </c>
      <c r="P52" s="35" t="str">
        <f>Calc!L52</f>
        <v/>
      </c>
      <c r="Q52" s="35" t="str">
        <f>Calc!M52</f>
        <v/>
      </c>
      <c r="R52" s="32" t="str">
        <f>Tracker!Z52</f>
        <v/>
      </c>
      <c r="S52" s="30" t="str">
        <f t="shared" si="2"/>
        <v/>
      </c>
      <c r="T52" s="30" t="str">
        <f t="shared" si="3"/>
        <v/>
      </c>
    </row>
    <row r="53" spans="1:20" x14ac:dyDescent="0.45">
      <c r="A53" s="15" t="str">
        <f>Tracker!A53</f>
        <v/>
      </c>
      <c r="B53" s="15" t="str">
        <f>Tracker!B53</f>
        <v/>
      </c>
      <c r="C53" s="15" t="str">
        <f>Tracker!C53</f>
        <v/>
      </c>
      <c r="D53" s="15" t="str">
        <f>Tracker!D53</f>
        <v/>
      </c>
      <c r="E53" s="15" t="str">
        <f>Tracker!G53</f>
        <v/>
      </c>
      <c r="F53" s="35" t="str">
        <f>Calc!B53</f>
        <v/>
      </c>
      <c r="G53" s="35" t="str">
        <f>Calc!C53</f>
        <v/>
      </c>
      <c r="H53" s="35" t="str">
        <f>Calc!D53</f>
        <v/>
      </c>
      <c r="I53" s="35" t="str">
        <f>Calc!E53</f>
        <v/>
      </c>
      <c r="J53" s="35" t="str">
        <f>Calc!F53</f>
        <v/>
      </c>
      <c r="K53" s="35" t="str">
        <f>Calc!G53</f>
        <v/>
      </c>
      <c r="L53" s="35" t="str">
        <f>Calc!H53</f>
        <v/>
      </c>
      <c r="M53" s="35" t="str">
        <f>Calc!I53</f>
        <v/>
      </c>
      <c r="N53" s="35" t="str">
        <f>Calc!J53</f>
        <v/>
      </c>
      <c r="O53" s="35" t="str">
        <f>Calc!K53</f>
        <v/>
      </c>
      <c r="P53" s="35" t="str">
        <f>Calc!L53</f>
        <v/>
      </c>
      <c r="Q53" s="35" t="str">
        <f>Calc!M53</f>
        <v/>
      </c>
      <c r="R53" s="32" t="str">
        <f>Tracker!Z53</f>
        <v/>
      </c>
      <c r="S53" s="30" t="str">
        <f t="shared" si="2"/>
        <v/>
      </c>
      <c r="T53" s="30" t="str">
        <f t="shared" si="3"/>
        <v/>
      </c>
    </row>
    <row r="54" spans="1:20" x14ac:dyDescent="0.45">
      <c r="A54" s="15" t="str">
        <f>Tracker!A54</f>
        <v/>
      </c>
      <c r="B54" s="15" t="str">
        <f>Tracker!B54</f>
        <v/>
      </c>
      <c r="C54" s="15" t="str">
        <f>Tracker!C54</f>
        <v/>
      </c>
      <c r="D54" s="15" t="str">
        <f>Tracker!D54</f>
        <v/>
      </c>
      <c r="E54" s="15" t="str">
        <f>Tracker!G54</f>
        <v/>
      </c>
      <c r="F54" s="35" t="str">
        <f>Calc!B54</f>
        <v/>
      </c>
      <c r="G54" s="35" t="str">
        <f>Calc!C54</f>
        <v/>
      </c>
      <c r="H54" s="35" t="str">
        <f>Calc!D54</f>
        <v/>
      </c>
      <c r="I54" s="35" t="str">
        <f>Calc!E54</f>
        <v/>
      </c>
      <c r="J54" s="35" t="str">
        <f>Calc!F54</f>
        <v/>
      </c>
      <c r="K54" s="35" t="str">
        <f>Calc!G54</f>
        <v/>
      </c>
      <c r="L54" s="35" t="str">
        <f>Calc!H54</f>
        <v/>
      </c>
      <c r="M54" s="35" t="str">
        <f>Calc!I54</f>
        <v/>
      </c>
      <c r="N54" s="35" t="str">
        <f>Calc!J54</f>
        <v/>
      </c>
      <c r="O54" s="35" t="str">
        <f>Calc!K54</f>
        <v/>
      </c>
      <c r="P54" s="35" t="str">
        <f>Calc!L54</f>
        <v/>
      </c>
      <c r="Q54" s="35" t="str">
        <f>Calc!M54</f>
        <v/>
      </c>
      <c r="R54" s="32" t="str">
        <f>Tracker!Z54</f>
        <v/>
      </c>
      <c r="S54" s="30" t="str">
        <f t="shared" si="2"/>
        <v/>
      </c>
      <c r="T54" s="30" t="str">
        <f t="shared" si="3"/>
        <v/>
      </c>
    </row>
    <row r="55" spans="1:20" x14ac:dyDescent="0.45">
      <c r="A55" s="15" t="str">
        <f>Tracker!A55</f>
        <v/>
      </c>
      <c r="B55" s="15" t="str">
        <f>Tracker!B55</f>
        <v/>
      </c>
      <c r="C55" s="15" t="str">
        <f>Tracker!C55</f>
        <v/>
      </c>
      <c r="D55" s="15" t="str">
        <f>Tracker!D55</f>
        <v/>
      </c>
      <c r="E55" s="15" t="str">
        <f>Tracker!G55</f>
        <v/>
      </c>
      <c r="F55" s="35" t="str">
        <f>Calc!B55</f>
        <v/>
      </c>
      <c r="G55" s="35" t="str">
        <f>Calc!C55</f>
        <v/>
      </c>
      <c r="H55" s="35" t="str">
        <f>Calc!D55</f>
        <v/>
      </c>
      <c r="I55" s="35" t="str">
        <f>Calc!E55</f>
        <v/>
      </c>
      <c r="J55" s="35" t="str">
        <f>Calc!F55</f>
        <v/>
      </c>
      <c r="K55" s="35" t="str">
        <f>Calc!G55</f>
        <v/>
      </c>
      <c r="L55" s="35" t="str">
        <f>Calc!H55</f>
        <v/>
      </c>
      <c r="M55" s="35" t="str">
        <f>Calc!I55</f>
        <v/>
      </c>
      <c r="N55" s="35" t="str">
        <f>Calc!J55</f>
        <v/>
      </c>
      <c r="O55" s="35" t="str">
        <f>Calc!K55</f>
        <v/>
      </c>
      <c r="P55" s="35" t="str">
        <f>Calc!L55</f>
        <v/>
      </c>
      <c r="Q55" s="35" t="str">
        <f>Calc!M55</f>
        <v/>
      </c>
      <c r="R55" s="32" t="str">
        <f>Tracker!Z55</f>
        <v/>
      </c>
      <c r="S55" s="30" t="str">
        <f t="shared" si="2"/>
        <v/>
      </c>
      <c r="T55" s="30" t="str">
        <f t="shared" si="3"/>
        <v/>
      </c>
    </row>
    <row r="56" spans="1:20" x14ac:dyDescent="0.45">
      <c r="A56" s="15" t="str">
        <f>Tracker!A56</f>
        <v/>
      </c>
      <c r="B56" s="15" t="str">
        <f>Tracker!B56</f>
        <v/>
      </c>
      <c r="C56" s="15" t="str">
        <f>Tracker!C56</f>
        <v/>
      </c>
      <c r="D56" s="15" t="str">
        <f>Tracker!D56</f>
        <v/>
      </c>
      <c r="E56" s="15" t="str">
        <f>Tracker!G56</f>
        <v/>
      </c>
      <c r="F56" s="35" t="str">
        <f>Calc!B56</f>
        <v/>
      </c>
      <c r="G56" s="35" t="str">
        <f>Calc!C56</f>
        <v/>
      </c>
      <c r="H56" s="35" t="str">
        <f>Calc!D56</f>
        <v/>
      </c>
      <c r="I56" s="35" t="str">
        <f>Calc!E56</f>
        <v/>
      </c>
      <c r="J56" s="35" t="str">
        <f>Calc!F56</f>
        <v/>
      </c>
      <c r="K56" s="35" t="str">
        <f>Calc!G56</f>
        <v/>
      </c>
      <c r="L56" s="35" t="str">
        <f>Calc!H56</f>
        <v/>
      </c>
      <c r="M56" s="35" t="str">
        <f>Calc!I56</f>
        <v/>
      </c>
      <c r="N56" s="35" t="str">
        <f>Calc!J56</f>
        <v/>
      </c>
      <c r="O56" s="35" t="str">
        <f>Calc!K56</f>
        <v/>
      </c>
      <c r="P56" s="35" t="str">
        <f>Calc!L56</f>
        <v/>
      </c>
      <c r="Q56" s="35" t="str">
        <f>Calc!M56</f>
        <v/>
      </c>
      <c r="R56" s="32" t="str">
        <f>Tracker!Z56</f>
        <v/>
      </c>
      <c r="S56" s="30" t="str">
        <f t="shared" si="2"/>
        <v/>
      </c>
      <c r="T56" s="30" t="str">
        <f t="shared" si="3"/>
        <v/>
      </c>
    </row>
    <row r="57" spans="1:20" x14ac:dyDescent="0.45">
      <c r="A57" s="15" t="str">
        <f>Tracker!A57</f>
        <v/>
      </c>
      <c r="B57" s="15" t="str">
        <f>Tracker!B57</f>
        <v/>
      </c>
      <c r="C57" s="15" t="str">
        <f>Tracker!C57</f>
        <v/>
      </c>
      <c r="D57" s="15" t="str">
        <f>Tracker!D57</f>
        <v/>
      </c>
      <c r="E57" s="15" t="str">
        <f>Tracker!G57</f>
        <v/>
      </c>
      <c r="F57" s="35" t="str">
        <f>Calc!B57</f>
        <v/>
      </c>
      <c r="G57" s="35" t="str">
        <f>Calc!C57</f>
        <v/>
      </c>
      <c r="H57" s="35" t="str">
        <f>Calc!D57</f>
        <v/>
      </c>
      <c r="I57" s="35" t="str">
        <f>Calc!E57</f>
        <v/>
      </c>
      <c r="J57" s="35" t="str">
        <f>Calc!F57</f>
        <v/>
      </c>
      <c r="K57" s="35" t="str">
        <f>Calc!G57</f>
        <v/>
      </c>
      <c r="L57" s="35" t="str">
        <f>Calc!H57</f>
        <v/>
      </c>
      <c r="M57" s="35" t="str">
        <f>Calc!I57</f>
        <v/>
      </c>
      <c r="N57" s="35" t="str">
        <f>Calc!J57</f>
        <v/>
      </c>
      <c r="O57" s="35" t="str">
        <f>Calc!K57</f>
        <v/>
      </c>
      <c r="P57" s="35" t="str">
        <f>Calc!L57</f>
        <v/>
      </c>
      <c r="Q57" s="35" t="str">
        <f>Calc!M57</f>
        <v/>
      </c>
      <c r="R57" s="32" t="str">
        <f>Tracker!Z57</f>
        <v/>
      </c>
      <c r="S57" s="30" t="str">
        <f t="shared" si="2"/>
        <v/>
      </c>
      <c r="T57" s="30" t="str">
        <f t="shared" si="3"/>
        <v/>
      </c>
    </row>
    <row r="58" spans="1:20" x14ac:dyDescent="0.45">
      <c r="A58" s="15" t="str">
        <f>Tracker!A58</f>
        <v/>
      </c>
      <c r="B58" s="15" t="str">
        <f>Tracker!B58</f>
        <v/>
      </c>
      <c r="C58" s="15" t="str">
        <f>Tracker!C58</f>
        <v/>
      </c>
      <c r="D58" s="15" t="str">
        <f>Tracker!D58</f>
        <v/>
      </c>
      <c r="E58" s="15" t="str">
        <f>Tracker!G58</f>
        <v/>
      </c>
      <c r="F58" s="35" t="str">
        <f>Calc!B58</f>
        <v/>
      </c>
      <c r="G58" s="35" t="str">
        <f>Calc!C58</f>
        <v/>
      </c>
      <c r="H58" s="35" t="str">
        <f>Calc!D58</f>
        <v/>
      </c>
      <c r="I58" s="35" t="str">
        <f>Calc!E58</f>
        <v/>
      </c>
      <c r="J58" s="35" t="str">
        <f>Calc!F58</f>
        <v/>
      </c>
      <c r="K58" s="35" t="str">
        <f>Calc!G58</f>
        <v/>
      </c>
      <c r="L58" s="35" t="str">
        <f>Calc!H58</f>
        <v/>
      </c>
      <c r="M58" s="35" t="str">
        <f>Calc!I58</f>
        <v/>
      </c>
      <c r="N58" s="35" t="str">
        <f>Calc!J58</f>
        <v/>
      </c>
      <c r="O58" s="35" t="str">
        <f>Calc!K58</f>
        <v/>
      </c>
      <c r="P58" s="35" t="str">
        <f>Calc!L58</f>
        <v/>
      </c>
      <c r="Q58" s="35" t="str">
        <f>Calc!M58</f>
        <v/>
      </c>
      <c r="R58" s="32" t="str">
        <f>Tracker!Z58</f>
        <v/>
      </c>
      <c r="S58" s="30" t="str">
        <f t="shared" si="2"/>
        <v/>
      </c>
      <c r="T58" s="30" t="str">
        <f t="shared" si="3"/>
        <v/>
      </c>
    </row>
    <row r="59" spans="1:20" x14ac:dyDescent="0.45">
      <c r="A59" s="15" t="str">
        <f>Tracker!A59</f>
        <v/>
      </c>
      <c r="B59" s="15" t="str">
        <f>Tracker!B59</f>
        <v/>
      </c>
      <c r="C59" s="15" t="str">
        <f>Tracker!C59</f>
        <v/>
      </c>
      <c r="D59" s="15" t="str">
        <f>Tracker!D59</f>
        <v/>
      </c>
      <c r="E59" s="15" t="str">
        <f>Tracker!G59</f>
        <v/>
      </c>
      <c r="F59" s="35" t="str">
        <f>Calc!B59</f>
        <v/>
      </c>
      <c r="G59" s="35" t="str">
        <f>Calc!C59</f>
        <v/>
      </c>
      <c r="H59" s="35" t="str">
        <f>Calc!D59</f>
        <v/>
      </c>
      <c r="I59" s="35" t="str">
        <f>Calc!E59</f>
        <v/>
      </c>
      <c r="J59" s="35" t="str">
        <f>Calc!F59</f>
        <v/>
      </c>
      <c r="K59" s="35" t="str">
        <f>Calc!G59</f>
        <v/>
      </c>
      <c r="L59" s="35" t="str">
        <f>Calc!H59</f>
        <v/>
      </c>
      <c r="M59" s="35" t="str">
        <f>Calc!I59</f>
        <v/>
      </c>
      <c r="N59" s="35" t="str">
        <f>Calc!J59</f>
        <v/>
      </c>
      <c r="O59" s="35" t="str">
        <f>Calc!K59</f>
        <v/>
      </c>
      <c r="P59" s="35" t="str">
        <f>Calc!L59</f>
        <v/>
      </c>
      <c r="Q59" s="35" t="str">
        <f>Calc!M59</f>
        <v/>
      </c>
      <c r="R59" s="32" t="str">
        <f>Tracker!Z59</f>
        <v/>
      </c>
      <c r="S59" s="30" t="str">
        <f t="shared" si="2"/>
        <v/>
      </c>
      <c r="T59" s="30" t="str">
        <f t="shared" si="3"/>
        <v/>
      </c>
    </row>
    <row r="60" spans="1:20" x14ac:dyDescent="0.45">
      <c r="A60" s="15" t="str">
        <f>Tracker!A60</f>
        <v/>
      </c>
      <c r="B60" s="15" t="str">
        <f>Tracker!B60</f>
        <v/>
      </c>
      <c r="C60" s="15" t="str">
        <f>Tracker!C60</f>
        <v/>
      </c>
      <c r="D60" s="15" t="str">
        <f>Tracker!D60</f>
        <v/>
      </c>
      <c r="E60" s="15" t="str">
        <f>Tracker!G60</f>
        <v/>
      </c>
      <c r="F60" s="35" t="str">
        <f>Calc!B60</f>
        <v/>
      </c>
      <c r="G60" s="35" t="str">
        <f>Calc!C60</f>
        <v/>
      </c>
      <c r="H60" s="35" t="str">
        <f>Calc!D60</f>
        <v/>
      </c>
      <c r="I60" s="35" t="str">
        <f>Calc!E60</f>
        <v/>
      </c>
      <c r="J60" s="35" t="str">
        <f>Calc!F60</f>
        <v/>
      </c>
      <c r="K60" s="35" t="str">
        <f>Calc!G60</f>
        <v/>
      </c>
      <c r="L60" s="35" t="str">
        <f>Calc!H60</f>
        <v/>
      </c>
      <c r="M60" s="35" t="str">
        <f>Calc!I60</f>
        <v/>
      </c>
      <c r="N60" s="35" t="str">
        <f>Calc!J60</f>
        <v/>
      </c>
      <c r="O60" s="35" t="str">
        <f>Calc!K60</f>
        <v/>
      </c>
      <c r="P60" s="35" t="str">
        <f>Calc!L60</f>
        <v/>
      </c>
      <c r="Q60" s="35" t="str">
        <f>Calc!M60</f>
        <v/>
      </c>
      <c r="R60" s="32" t="str">
        <f>Tracker!Z60</f>
        <v/>
      </c>
      <c r="S60" s="30" t="str">
        <f t="shared" si="2"/>
        <v/>
      </c>
      <c r="T60" s="30" t="str">
        <f t="shared" si="3"/>
        <v/>
      </c>
    </row>
    <row r="61" spans="1:20" x14ac:dyDescent="0.45">
      <c r="A61" s="15" t="str">
        <f>Tracker!A61</f>
        <v/>
      </c>
      <c r="B61" s="15" t="str">
        <f>Tracker!B61</f>
        <v/>
      </c>
      <c r="C61" s="15" t="str">
        <f>Tracker!C61</f>
        <v/>
      </c>
      <c r="D61" s="15" t="str">
        <f>Tracker!D61</f>
        <v/>
      </c>
      <c r="E61" s="15" t="str">
        <f>Tracker!G61</f>
        <v/>
      </c>
      <c r="F61" s="35" t="str">
        <f>Calc!B61</f>
        <v/>
      </c>
      <c r="G61" s="35" t="str">
        <f>Calc!C61</f>
        <v/>
      </c>
      <c r="H61" s="35" t="str">
        <f>Calc!D61</f>
        <v/>
      </c>
      <c r="I61" s="35" t="str">
        <f>Calc!E61</f>
        <v/>
      </c>
      <c r="J61" s="35" t="str">
        <f>Calc!F61</f>
        <v/>
      </c>
      <c r="K61" s="35" t="str">
        <f>Calc!G61</f>
        <v/>
      </c>
      <c r="L61" s="35" t="str">
        <f>Calc!H61</f>
        <v/>
      </c>
      <c r="M61" s="35" t="str">
        <f>Calc!I61</f>
        <v/>
      </c>
      <c r="N61" s="35" t="str">
        <f>Calc!J61</f>
        <v/>
      </c>
      <c r="O61" s="35" t="str">
        <f>Calc!K61</f>
        <v/>
      </c>
      <c r="P61" s="35" t="str">
        <f>Calc!L61</f>
        <v/>
      </c>
      <c r="Q61" s="35" t="str">
        <f>Calc!M61</f>
        <v/>
      </c>
      <c r="R61" s="32" t="str">
        <f>Tracker!Z61</f>
        <v/>
      </c>
      <c r="S61" s="30" t="str">
        <f t="shared" si="2"/>
        <v/>
      </c>
      <c r="T61" s="30" t="str">
        <f t="shared" si="3"/>
        <v/>
      </c>
    </row>
    <row r="62" spans="1:20" x14ac:dyDescent="0.45">
      <c r="A62" s="15" t="str">
        <f>Tracker!A62</f>
        <v/>
      </c>
      <c r="B62" s="15" t="str">
        <f>Tracker!B62</f>
        <v/>
      </c>
      <c r="C62" s="15" t="str">
        <f>Tracker!C62</f>
        <v/>
      </c>
      <c r="D62" s="15" t="str">
        <f>Tracker!D62</f>
        <v/>
      </c>
      <c r="E62" s="15" t="str">
        <f>Tracker!G62</f>
        <v/>
      </c>
      <c r="F62" s="35" t="str">
        <f>Calc!B62</f>
        <v/>
      </c>
      <c r="G62" s="35" t="str">
        <f>Calc!C62</f>
        <v/>
      </c>
      <c r="H62" s="35" t="str">
        <f>Calc!D62</f>
        <v/>
      </c>
      <c r="I62" s="35" t="str">
        <f>Calc!E62</f>
        <v/>
      </c>
      <c r="J62" s="35" t="str">
        <f>Calc!F62</f>
        <v/>
      </c>
      <c r="K62" s="35" t="str">
        <f>Calc!G62</f>
        <v/>
      </c>
      <c r="L62" s="35" t="str">
        <f>Calc!H62</f>
        <v/>
      </c>
      <c r="M62" s="35" t="str">
        <f>Calc!I62</f>
        <v/>
      </c>
      <c r="N62" s="35" t="str">
        <f>Calc!J62</f>
        <v/>
      </c>
      <c r="O62" s="35" t="str">
        <f>Calc!K62</f>
        <v/>
      </c>
      <c r="P62" s="35" t="str">
        <f>Calc!L62</f>
        <v/>
      </c>
      <c r="Q62" s="35" t="str">
        <f>Calc!M62</f>
        <v/>
      </c>
      <c r="R62" s="32" t="str">
        <f>Tracker!Z62</f>
        <v/>
      </c>
      <c r="S62" s="30" t="str">
        <f t="shared" si="2"/>
        <v/>
      </c>
      <c r="T62" s="30" t="str">
        <f t="shared" si="3"/>
        <v/>
      </c>
    </row>
    <row r="63" spans="1:20" x14ac:dyDescent="0.45">
      <c r="A63" s="15" t="str">
        <f>Tracker!A63</f>
        <v/>
      </c>
      <c r="B63" s="15" t="str">
        <f>Tracker!B63</f>
        <v/>
      </c>
      <c r="C63" s="15" t="str">
        <f>Tracker!C63</f>
        <v/>
      </c>
      <c r="D63" s="15" t="str">
        <f>Tracker!D63</f>
        <v/>
      </c>
      <c r="E63" s="15" t="str">
        <f>Tracker!G63</f>
        <v/>
      </c>
      <c r="F63" s="35" t="str">
        <f>Calc!B63</f>
        <v/>
      </c>
      <c r="G63" s="35" t="str">
        <f>Calc!C63</f>
        <v/>
      </c>
      <c r="H63" s="35" t="str">
        <f>Calc!D63</f>
        <v/>
      </c>
      <c r="I63" s="35" t="str">
        <f>Calc!E63</f>
        <v/>
      </c>
      <c r="J63" s="35" t="str">
        <f>Calc!F63</f>
        <v/>
      </c>
      <c r="K63" s="35" t="str">
        <f>Calc!G63</f>
        <v/>
      </c>
      <c r="L63" s="35" t="str">
        <f>Calc!H63</f>
        <v/>
      </c>
      <c r="M63" s="35" t="str">
        <f>Calc!I63</f>
        <v/>
      </c>
      <c r="N63" s="35" t="str">
        <f>Calc!J63</f>
        <v/>
      </c>
      <c r="O63" s="35" t="str">
        <f>Calc!K63</f>
        <v/>
      </c>
      <c r="P63" s="35" t="str">
        <f>Calc!L63</f>
        <v/>
      </c>
      <c r="Q63" s="35" t="str">
        <f>Calc!M63</f>
        <v/>
      </c>
      <c r="R63" s="32" t="str">
        <f>Tracker!Z63</f>
        <v/>
      </c>
      <c r="S63" s="30" t="str">
        <f t="shared" si="2"/>
        <v/>
      </c>
      <c r="T63" s="30" t="str">
        <f t="shared" si="3"/>
        <v/>
      </c>
    </row>
    <row r="64" spans="1:20" x14ac:dyDescent="0.45">
      <c r="A64" s="15" t="str">
        <f>Tracker!A64</f>
        <v/>
      </c>
      <c r="B64" s="15" t="str">
        <f>Tracker!B64</f>
        <v/>
      </c>
      <c r="C64" s="15" t="str">
        <f>Tracker!C64</f>
        <v/>
      </c>
      <c r="D64" s="15" t="str">
        <f>Tracker!D64</f>
        <v/>
      </c>
      <c r="E64" s="15" t="str">
        <f>Tracker!G64</f>
        <v/>
      </c>
      <c r="F64" s="35" t="str">
        <f>Calc!B64</f>
        <v/>
      </c>
      <c r="G64" s="35" t="str">
        <f>Calc!C64</f>
        <v/>
      </c>
      <c r="H64" s="35" t="str">
        <f>Calc!D64</f>
        <v/>
      </c>
      <c r="I64" s="35" t="str">
        <f>Calc!E64</f>
        <v/>
      </c>
      <c r="J64" s="35" t="str">
        <f>Calc!F64</f>
        <v/>
      </c>
      <c r="K64" s="35" t="str">
        <f>Calc!G64</f>
        <v/>
      </c>
      <c r="L64" s="35" t="str">
        <f>Calc!H64</f>
        <v/>
      </c>
      <c r="M64" s="35" t="str">
        <f>Calc!I64</f>
        <v/>
      </c>
      <c r="N64" s="35" t="str">
        <f>Calc!J64</f>
        <v/>
      </c>
      <c r="O64" s="35" t="str">
        <f>Calc!K64</f>
        <v/>
      </c>
      <c r="P64" s="35" t="str">
        <f>Calc!L64</f>
        <v/>
      </c>
      <c r="Q64" s="35" t="str">
        <f>Calc!M64</f>
        <v/>
      </c>
      <c r="R64" s="32" t="str">
        <f>Tracker!Z64</f>
        <v/>
      </c>
      <c r="S64" s="30" t="str">
        <f t="shared" si="2"/>
        <v/>
      </c>
      <c r="T64" s="30" t="str">
        <f t="shared" si="3"/>
        <v/>
      </c>
    </row>
    <row r="65" spans="1:20" x14ac:dyDescent="0.45">
      <c r="A65" s="15" t="str">
        <f>Tracker!A65</f>
        <v/>
      </c>
      <c r="B65" s="15" t="str">
        <f>Tracker!B65</f>
        <v/>
      </c>
      <c r="C65" s="15" t="str">
        <f>Tracker!C65</f>
        <v/>
      </c>
      <c r="D65" s="15" t="str">
        <f>Tracker!D65</f>
        <v/>
      </c>
      <c r="E65" s="15" t="str">
        <f>Tracker!G65</f>
        <v/>
      </c>
      <c r="F65" s="35" t="str">
        <f>Calc!B65</f>
        <v/>
      </c>
      <c r="G65" s="35" t="str">
        <f>Calc!C65</f>
        <v/>
      </c>
      <c r="H65" s="35" t="str">
        <f>Calc!D65</f>
        <v/>
      </c>
      <c r="I65" s="35" t="str">
        <f>Calc!E65</f>
        <v/>
      </c>
      <c r="J65" s="35" t="str">
        <f>Calc!F65</f>
        <v/>
      </c>
      <c r="K65" s="35" t="str">
        <f>Calc!G65</f>
        <v/>
      </c>
      <c r="L65" s="35" t="str">
        <f>Calc!H65</f>
        <v/>
      </c>
      <c r="M65" s="35" t="str">
        <f>Calc!I65</f>
        <v/>
      </c>
      <c r="N65" s="35" t="str">
        <f>Calc!J65</f>
        <v/>
      </c>
      <c r="O65" s="35" t="str">
        <f>Calc!K65</f>
        <v/>
      </c>
      <c r="P65" s="35" t="str">
        <f>Calc!L65</f>
        <v/>
      </c>
      <c r="Q65" s="35" t="str">
        <f>Calc!M65</f>
        <v/>
      </c>
      <c r="R65" s="32" t="str">
        <f>Tracker!Z65</f>
        <v/>
      </c>
      <c r="S65" s="30" t="str">
        <f t="shared" si="2"/>
        <v/>
      </c>
      <c r="T65" s="30" t="str">
        <f t="shared" si="3"/>
        <v/>
      </c>
    </row>
  </sheetData>
  <autoFilter ref="A5:T65" xr:uid="{00000000-0009-0000-0000-000009000000}"/>
  <conditionalFormatting sqref="F6:Q65">
    <cfRule type="cellIs" dxfId="9" priority="2" operator="equal">
      <formula>"G"</formula>
    </cfRule>
    <cfRule type="cellIs" dxfId="8" priority="3" operator="equal">
      <formula>"A"</formula>
    </cfRule>
    <cfRule type="cellIs" dxfId="7" priority="4" operator="equal">
      <formula>"R"</formula>
    </cfRule>
  </conditionalFormatting>
  <conditionalFormatting sqref="R6:R65">
    <cfRule type="cellIs" dxfId="6" priority="5" operator="equal">
      <formula>"Green"</formula>
    </cfRule>
    <cfRule type="cellIs" dxfId="5" priority="6" operator="equal">
      <formula>"Amber"</formula>
    </cfRule>
    <cfRule type="cellIs" dxfId="4" priority="7" operator="equal">
      <formula>"Red"</formula>
    </cfRule>
    <cfRule type="cellIs" dxfId="3" priority="8" operator="equal">
      <formula>"No data"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0000000-000E-0000-0900-000009000000}">
            <xm:f>COLUMN(F5)-COLUMN($F5)+1=Setup!$B$7</xm:f>
            <x14:dxf>
              <fill>
                <patternFill>
                  <bgColor rgb="FFE2A93B"/>
                </patternFill>
              </fill>
            </x14:dxf>
          </x14:cfRule>
          <xm:sqref>F5:Q5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F3B2F"/>
  </sheetPr>
  <dimension ref="A1:I55"/>
  <sheetViews>
    <sheetView showGridLines="0" zoomScaleNormal="100" workbookViewId="0">
      <pane ySplit="5" topLeftCell="A6" activePane="bottomLeft" state="frozen"/>
      <selection pane="bottomLeft"/>
    </sheetView>
  </sheetViews>
  <sheetFormatPr defaultColWidth="8.6640625" defaultRowHeight="14.25" x14ac:dyDescent="0.45"/>
  <cols>
    <col min="1" max="1" width="12" customWidth="1"/>
    <col min="2" max="2" width="10" customWidth="1"/>
    <col min="3" max="3" width="28" customWidth="1"/>
    <col min="4" max="4" width="20" customWidth="1"/>
    <col min="5" max="5" width="22" customWidth="1"/>
    <col min="6" max="7" width="10" customWidth="1"/>
    <col min="8" max="8" width="50" customWidth="1"/>
    <col min="9" max="9" width="18" customWidth="1"/>
  </cols>
  <sheetData>
    <row r="1" spans="1:9" ht="20.65" x14ac:dyDescent="0.6">
      <c r="A1" s="11" t="s">
        <v>345</v>
      </c>
    </row>
    <row r="2" spans="1:9" x14ac:dyDescent="0.45">
      <c r="A2" s="12" t="s">
        <v>346</v>
      </c>
    </row>
    <row r="5" spans="1:9" ht="30" customHeight="1" x14ac:dyDescent="0.45">
      <c r="A5" s="33" t="s">
        <v>347</v>
      </c>
      <c r="B5" s="33" t="s">
        <v>324</v>
      </c>
      <c r="C5" s="33" t="s">
        <v>82</v>
      </c>
      <c r="D5" s="33" t="s">
        <v>59</v>
      </c>
      <c r="E5" s="33" t="s">
        <v>348</v>
      </c>
      <c r="F5" s="33" t="s">
        <v>349</v>
      </c>
      <c r="G5" s="33" t="s">
        <v>350</v>
      </c>
      <c r="H5" s="33" t="s">
        <v>351</v>
      </c>
      <c r="I5" s="33" t="s">
        <v>352</v>
      </c>
    </row>
    <row r="6" spans="1:9" ht="25.5" x14ac:dyDescent="0.45">
      <c r="A6" s="70">
        <v>46127</v>
      </c>
      <c r="B6" s="20" t="s">
        <v>212</v>
      </c>
      <c r="C6" s="15" t="str">
        <f>IF(B6="","",IFERROR(INDEX(Measures!$C$6:$C$65,MATCH(B6,Measures!$A$6:$A$65,0)),"Not found"))</f>
        <v>Like-for-like store sales growth</v>
      </c>
      <c r="D6" s="15" t="str">
        <f>IF(B6="","",IFERROR(INDEX(Measures!$F$6:$F$65,MATCH(B6,Measures!$A$6:$A$65,0)),""))</f>
        <v>Sales and e-commerce</v>
      </c>
      <c r="E6" s="20" t="s">
        <v>353</v>
      </c>
      <c r="F6" s="64">
        <v>0.05</v>
      </c>
      <c r="G6" s="64">
        <v>0.06</v>
      </c>
      <c r="H6" s="20" t="s">
        <v>354</v>
      </c>
      <c r="I6" s="20" t="s">
        <v>134</v>
      </c>
    </row>
    <row r="7" spans="1:9" ht="25.5" x14ac:dyDescent="0.45">
      <c r="A7" s="70">
        <v>46203</v>
      </c>
      <c r="B7" s="20" t="s">
        <v>289</v>
      </c>
      <c r="C7" s="15" t="str">
        <f>IF(B7="","",IFERROR(INDEX(Measures!$C$6:$C$65,MATCH(B7,Measures!$A$6:$A$65,0)),"Not found"))</f>
        <v>Phishing test click rate</v>
      </c>
      <c r="D7" s="15" t="str">
        <f>IF(B7="","",IFERROR(INDEX(Measures!$F$6:$F$65,MATCH(B7,Measures!$A$6:$A$65,0)),""))</f>
        <v>IT</v>
      </c>
      <c r="E7" s="20" t="s">
        <v>355</v>
      </c>
      <c r="F7" s="64">
        <v>0.12</v>
      </c>
      <c r="G7" s="64">
        <v>0.1</v>
      </c>
      <c r="H7" s="20" t="s">
        <v>356</v>
      </c>
      <c r="I7" s="20" t="s">
        <v>151</v>
      </c>
    </row>
    <row r="8" spans="1:9" x14ac:dyDescent="0.45">
      <c r="A8" s="70"/>
      <c r="B8" s="20"/>
      <c r="C8" s="15" t="str">
        <f>IF(B8="","",IFERROR(INDEX(Measures!$C$6:$C$65,MATCH(B8,Measures!$A$6:$A$65,0)),"Not found"))</f>
        <v/>
      </c>
      <c r="D8" s="15" t="str">
        <f>IF(B8="","",IFERROR(INDEX(Measures!$F$6:$F$65,MATCH(B8,Measures!$A$6:$A$65,0)),""))</f>
        <v/>
      </c>
      <c r="E8" s="20"/>
      <c r="F8" s="20"/>
      <c r="G8" s="20"/>
      <c r="H8" s="20"/>
      <c r="I8" s="20"/>
    </row>
    <row r="9" spans="1:9" x14ac:dyDescent="0.45">
      <c r="A9" s="70"/>
      <c r="B9" s="20"/>
      <c r="C9" s="15" t="str">
        <f>IF(B9="","",IFERROR(INDEX(Measures!$C$6:$C$65,MATCH(B9,Measures!$A$6:$A$65,0)),"Not found"))</f>
        <v/>
      </c>
      <c r="D9" s="15" t="str">
        <f>IF(B9="","",IFERROR(INDEX(Measures!$F$6:$F$65,MATCH(B9,Measures!$A$6:$A$65,0)),""))</f>
        <v/>
      </c>
      <c r="E9" s="20"/>
      <c r="F9" s="20"/>
      <c r="G9" s="20"/>
      <c r="H9" s="20"/>
      <c r="I9" s="20"/>
    </row>
    <row r="10" spans="1:9" x14ac:dyDescent="0.45">
      <c r="A10" s="70"/>
      <c r="B10" s="20"/>
      <c r="C10" s="15" t="str">
        <f>IF(B10="","",IFERROR(INDEX(Measures!$C$6:$C$65,MATCH(B10,Measures!$A$6:$A$65,0)),"Not found"))</f>
        <v/>
      </c>
      <c r="D10" s="15" t="str">
        <f>IF(B10="","",IFERROR(INDEX(Measures!$F$6:$F$65,MATCH(B10,Measures!$A$6:$A$65,0)),""))</f>
        <v/>
      </c>
      <c r="E10" s="20"/>
      <c r="F10" s="20"/>
      <c r="G10" s="20"/>
      <c r="H10" s="20"/>
      <c r="I10" s="20"/>
    </row>
    <row r="11" spans="1:9" x14ac:dyDescent="0.45">
      <c r="A11" s="70"/>
      <c r="B11" s="20"/>
      <c r="C11" s="15" t="str">
        <f>IF(B11="","",IFERROR(INDEX(Measures!$C$6:$C$65,MATCH(B11,Measures!$A$6:$A$65,0)),"Not found"))</f>
        <v/>
      </c>
      <c r="D11" s="15" t="str">
        <f>IF(B11="","",IFERROR(INDEX(Measures!$F$6:$F$65,MATCH(B11,Measures!$A$6:$A$65,0)),""))</f>
        <v/>
      </c>
      <c r="E11" s="20"/>
      <c r="F11" s="20"/>
      <c r="G11" s="20"/>
      <c r="H11" s="20"/>
      <c r="I11" s="20"/>
    </row>
    <row r="12" spans="1:9" x14ac:dyDescent="0.45">
      <c r="A12" s="70"/>
      <c r="B12" s="20"/>
      <c r="C12" s="15" t="str">
        <f>IF(B12="","",IFERROR(INDEX(Measures!$C$6:$C$65,MATCH(B12,Measures!$A$6:$A$65,0)),"Not found"))</f>
        <v/>
      </c>
      <c r="D12" s="15" t="str">
        <f>IF(B12="","",IFERROR(INDEX(Measures!$F$6:$F$65,MATCH(B12,Measures!$A$6:$A$65,0)),""))</f>
        <v/>
      </c>
      <c r="E12" s="20"/>
      <c r="F12" s="20"/>
      <c r="G12" s="20"/>
      <c r="H12" s="20"/>
      <c r="I12" s="20"/>
    </row>
    <row r="13" spans="1:9" x14ac:dyDescent="0.45">
      <c r="A13" s="70"/>
      <c r="B13" s="20"/>
      <c r="C13" s="15" t="str">
        <f>IF(B13="","",IFERROR(INDEX(Measures!$C$6:$C$65,MATCH(B13,Measures!$A$6:$A$65,0)),"Not found"))</f>
        <v/>
      </c>
      <c r="D13" s="15" t="str">
        <f>IF(B13="","",IFERROR(INDEX(Measures!$F$6:$F$65,MATCH(B13,Measures!$A$6:$A$65,0)),""))</f>
        <v/>
      </c>
      <c r="E13" s="20"/>
      <c r="F13" s="20"/>
      <c r="G13" s="20"/>
      <c r="H13" s="20"/>
      <c r="I13" s="20"/>
    </row>
    <row r="14" spans="1:9" x14ac:dyDescent="0.45">
      <c r="A14" s="70"/>
      <c r="B14" s="20"/>
      <c r="C14" s="15" t="str">
        <f>IF(B14="","",IFERROR(INDEX(Measures!$C$6:$C$65,MATCH(B14,Measures!$A$6:$A$65,0)),"Not found"))</f>
        <v/>
      </c>
      <c r="D14" s="15" t="str">
        <f>IF(B14="","",IFERROR(INDEX(Measures!$F$6:$F$65,MATCH(B14,Measures!$A$6:$A$65,0)),""))</f>
        <v/>
      </c>
      <c r="E14" s="20"/>
      <c r="F14" s="20"/>
      <c r="G14" s="20"/>
      <c r="H14" s="20"/>
      <c r="I14" s="20"/>
    </row>
    <row r="15" spans="1:9" x14ac:dyDescent="0.45">
      <c r="A15" s="70"/>
      <c r="B15" s="20"/>
      <c r="C15" s="15" t="str">
        <f>IF(B15="","",IFERROR(INDEX(Measures!$C$6:$C$65,MATCH(B15,Measures!$A$6:$A$65,0)),"Not found"))</f>
        <v/>
      </c>
      <c r="D15" s="15" t="str">
        <f>IF(B15="","",IFERROR(INDEX(Measures!$F$6:$F$65,MATCH(B15,Measures!$A$6:$A$65,0)),""))</f>
        <v/>
      </c>
      <c r="E15" s="20"/>
      <c r="F15" s="20"/>
      <c r="G15" s="20"/>
      <c r="H15" s="20"/>
      <c r="I15" s="20"/>
    </row>
    <row r="16" spans="1:9" x14ac:dyDescent="0.45">
      <c r="A16" s="70"/>
      <c r="B16" s="20"/>
      <c r="C16" s="15" t="str">
        <f>IF(B16="","",IFERROR(INDEX(Measures!$C$6:$C$65,MATCH(B16,Measures!$A$6:$A$65,0)),"Not found"))</f>
        <v/>
      </c>
      <c r="D16" s="15" t="str">
        <f>IF(B16="","",IFERROR(INDEX(Measures!$F$6:$F$65,MATCH(B16,Measures!$A$6:$A$65,0)),""))</f>
        <v/>
      </c>
      <c r="E16" s="20"/>
      <c r="F16" s="20"/>
      <c r="G16" s="20"/>
      <c r="H16" s="20"/>
      <c r="I16" s="20"/>
    </row>
    <row r="17" spans="1:9" x14ac:dyDescent="0.45">
      <c r="A17" s="70"/>
      <c r="B17" s="20"/>
      <c r="C17" s="15" t="str">
        <f>IF(B17="","",IFERROR(INDEX(Measures!$C$6:$C$65,MATCH(B17,Measures!$A$6:$A$65,0)),"Not found"))</f>
        <v/>
      </c>
      <c r="D17" s="15" t="str">
        <f>IF(B17="","",IFERROR(INDEX(Measures!$F$6:$F$65,MATCH(B17,Measures!$A$6:$A$65,0)),""))</f>
        <v/>
      </c>
      <c r="E17" s="20"/>
      <c r="F17" s="20"/>
      <c r="G17" s="20"/>
      <c r="H17" s="20"/>
      <c r="I17" s="20"/>
    </row>
    <row r="18" spans="1:9" x14ac:dyDescent="0.45">
      <c r="A18" s="70"/>
      <c r="B18" s="20"/>
      <c r="C18" s="15" t="str">
        <f>IF(B18="","",IFERROR(INDEX(Measures!$C$6:$C$65,MATCH(B18,Measures!$A$6:$A$65,0)),"Not found"))</f>
        <v/>
      </c>
      <c r="D18" s="15" t="str">
        <f>IF(B18="","",IFERROR(INDEX(Measures!$F$6:$F$65,MATCH(B18,Measures!$A$6:$A$65,0)),""))</f>
        <v/>
      </c>
      <c r="E18" s="20"/>
      <c r="F18" s="20"/>
      <c r="G18" s="20"/>
      <c r="H18" s="20"/>
      <c r="I18" s="20"/>
    </row>
    <row r="19" spans="1:9" x14ac:dyDescent="0.45">
      <c r="A19" s="70"/>
      <c r="B19" s="20"/>
      <c r="C19" s="15" t="str">
        <f>IF(B19="","",IFERROR(INDEX(Measures!$C$6:$C$65,MATCH(B19,Measures!$A$6:$A$65,0)),"Not found"))</f>
        <v/>
      </c>
      <c r="D19" s="15" t="str">
        <f>IF(B19="","",IFERROR(INDEX(Measures!$F$6:$F$65,MATCH(B19,Measures!$A$6:$A$65,0)),""))</f>
        <v/>
      </c>
      <c r="E19" s="20"/>
      <c r="F19" s="20"/>
      <c r="G19" s="20"/>
      <c r="H19" s="20"/>
      <c r="I19" s="20"/>
    </row>
    <row r="20" spans="1:9" x14ac:dyDescent="0.45">
      <c r="A20" s="70"/>
      <c r="B20" s="20"/>
      <c r="C20" s="15" t="str">
        <f>IF(B20="","",IFERROR(INDEX(Measures!$C$6:$C$65,MATCH(B20,Measures!$A$6:$A$65,0)),"Not found"))</f>
        <v/>
      </c>
      <c r="D20" s="15" t="str">
        <f>IF(B20="","",IFERROR(INDEX(Measures!$F$6:$F$65,MATCH(B20,Measures!$A$6:$A$65,0)),""))</f>
        <v/>
      </c>
      <c r="E20" s="20"/>
      <c r="F20" s="20"/>
      <c r="G20" s="20"/>
      <c r="H20" s="20"/>
      <c r="I20" s="20"/>
    </row>
    <row r="21" spans="1:9" x14ac:dyDescent="0.45">
      <c r="A21" s="70"/>
      <c r="B21" s="20"/>
      <c r="C21" s="15" t="str">
        <f>IF(B21="","",IFERROR(INDEX(Measures!$C$6:$C$65,MATCH(B21,Measures!$A$6:$A$65,0)),"Not found"))</f>
        <v/>
      </c>
      <c r="D21" s="15" t="str">
        <f>IF(B21="","",IFERROR(INDEX(Measures!$F$6:$F$65,MATCH(B21,Measures!$A$6:$A$65,0)),""))</f>
        <v/>
      </c>
      <c r="E21" s="20"/>
      <c r="F21" s="20"/>
      <c r="G21" s="20"/>
      <c r="H21" s="20"/>
      <c r="I21" s="20"/>
    </row>
    <row r="22" spans="1:9" x14ac:dyDescent="0.45">
      <c r="A22" s="70"/>
      <c r="B22" s="20"/>
      <c r="C22" s="15" t="str">
        <f>IF(B22="","",IFERROR(INDEX(Measures!$C$6:$C$65,MATCH(B22,Measures!$A$6:$A$65,0)),"Not found"))</f>
        <v/>
      </c>
      <c r="D22" s="15" t="str">
        <f>IF(B22="","",IFERROR(INDEX(Measures!$F$6:$F$65,MATCH(B22,Measures!$A$6:$A$65,0)),""))</f>
        <v/>
      </c>
      <c r="E22" s="20"/>
      <c r="F22" s="20"/>
      <c r="G22" s="20"/>
      <c r="H22" s="20"/>
      <c r="I22" s="20"/>
    </row>
    <row r="23" spans="1:9" x14ac:dyDescent="0.45">
      <c r="A23" s="70"/>
      <c r="B23" s="20"/>
      <c r="C23" s="15" t="str">
        <f>IF(B23="","",IFERROR(INDEX(Measures!$C$6:$C$65,MATCH(B23,Measures!$A$6:$A$65,0)),"Not found"))</f>
        <v/>
      </c>
      <c r="D23" s="15" t="str">
        <f>IF(B23="","",IFERROR(INDEX(Measures!$F$6:$F$65,MATCH(B23,Measures!$A$6:$A$65,0)),""))</f>
        <v/>
      </c>
      <c r="E23" s="20"/>
      <c r="F23" s="20"/>
      <c r="G23" s="20"/>
      <c r="H23" s="20"/>
      <c r="I23" s="20"/>
    </row>
    <row r="24" spans="1:9" x14ac:dyDescent="0.45">
      <c r="A24" s="70"/>
      <c r="B24" s="20"/>
      <c r="C24" s="15" t="str">
        <f>IF(B24="","",IFERROR(INDEX(Measures!$C$6:$C$65,MATCH(B24,Measures!$A$6:$A$65,0)),"Not found"))</f>
        <v/>
      </c>
      <c r="D24" s="15" t="str">
        <f>IF(B24="","",IFERROR(INDEX(Measures!$F$6:$F$65,MATCH(B24,Measures!$A$6:$A$65,0)),""))</f>
        <v/>
      </c>
      <c r="E24" s="20"/>
      <c r="F24" s="20"/>
      <c r="G24" s="20"/>
      <c r="H24" s="20"/>
      <c r="I24" s="20"/>
    </row>
    <row r="25" spans="1:9" x14ac:dyDescent="0.45">
      <c r="A25" s="70"/>
      <c r="B25" s="20"/>
      <c r="C25" s="15" t="str">
        <f>IF(B25="","",IFERROR(INDEX(Measures!$C$6:$C$65,MATCH(B25,Measures!$A$6:$A$65,0)),"Not found"))</f>
        <v/>
      </c>
      <c r="D25" s="15" t="str">
        <f>IF(B25="","",IFERROR(INDEX(Measures!$F$6:$F$65,MATCH(B25,Measures!$A$6:$A$65,0)),""))</f>
        <v/>
      </c>
      <c r="E25" s="20"/>
      <c r="F25" s="20"/>
      <c r="G25" s="20"/>
      <c r="H25" s="20"/>
      <c r="I25" s="20"/>
    </row>
    <row r="26" spans="1:9" x14ac:dyDescent="0.45">
      <c r="A26" s="70"/>
      <c r="B26" s="20"/>
      <c r="C26" s="15" t="str">
        <f>IF(B26="","",IFERROR(INDEX(Measures!$C$6:$C$65,MATCH(B26,Measures!$A$6:$A$65,0)),"Not found"))</f>
        <v/>
      </c>
      <c r="D26" s="15" t="str">
        <f>IF(B26="","",IFERROR(INDEX(Measures!$F$6:$F$65,MATCH(B26,Measures!$A$6:$A$65,0)),""))</f>
        <v/>
      </c>
      <c r="E26" s="20"/>
      <c r="F26" s="20"/>
      <c r="G26" s="20"/>
      <c r="H26" s="20"/>
      <c r="I26" s="20"/>
    </row>
    <row r="27" spans="1:9" x14ac:dyDescent="0.45">
      <c r="A27" s="70"/>
      <c r="B27" s="20"/>
      <c r="C27" s="15" t="str">
        <f>IF(B27="","",IFERROR(INDEX(Measures!$C$6:$C$65,MATCH(B27,Measures!$A$6:$A$65,0)),"Not found"))</f>
        <v/>
      </c>
      <c r="D27" s="15" t="str">
        <f>IF(B27="","",IFERROR(INDEX(Measures!$F$6:$F$65,MATCH(B27,Measures!$A$6:$A$65,0)),""))</f>
        <v/>
      </c>
      <c r="E27" s="20"/>
      <c r="F27" s="20"/>
      <c r="G27" s="20"/>
      <c r="H27" s="20"/>
      <c r="I27" s="20"/>
    </row>
    <row r="28" spans="1:9" x14ac:dyDescent="0.45">
      <c r="A28" s="70"/>
      <c r="B28" s="20"/>
      <c r="C28" s="15" t="str">
        <f>IF(B28="","",IFERROR(INDEX(Measures!$C$6:$C$65,MATCH(B28,Measures!$A$6:$A$65,0)),"Not found"))</f>
        <v/>
      </c>
      <c r="D28" s="15" t="str">
        <f>IF(B28="","",IFERROR(INDEX(Measures!$F$6:$F$65,MATCH(B28,Measures!$A$6:$A$65,0)),""))</f>
        <v/>
      </c>
      <c r="E28" s="20"/>
      <c r="F28" s="20"/>
      <c r="G28" s="20"/>
      <c r="H28" s="20"/>
      <c r="I28" s="20"/>
    </row>
    <row r="29" spans="1:9" x14ac:dyDescent="0.45">
      <c r="A29" s="70"/>
      <c r="B29" s="20"/>
      <c r="C29" s="15" t="str">
        <f>IF(B29="","",IFERROR(INDEX(Measures!$C$6:$C$65,MATCH(B29,Measures!$A$6:$A$65,0)),"Not found"))</f>
        <v/>
      </c>
      <c r="D29" s="15" t="str">
        <f>IF(B29="","",IFERROR(INDEX(Measures!$F$6:$F$65,MATCH(B29,Measures!$A$6:$A$65,0)),""))</f>
        <v/>
      </c>
      <c r="E29" s="20"/>
      <c r="F29" s="20"/>
      <c r="G29" s="20"/>
      <c r="H29" s="20"/>
      <c r="I29" s="20"/>
    </row>
    <row r="30" spans="1:9" x14ac:dyDescent="0.45">
      <c r="A30" s="70"/>
      <c r="B30" s="20"/>
      <c r="C30" s="15" t="str">
        <f>IF(B30="","",IFERROR(INDEX(Measures!$C$6:$C$65,MATCH(B30,Measures!$A$6:$A$65,0)),"Not found"))</f>
        <v/>
      </c>
      <c r="D30" s="15" t="str">
        <f>IF(B30="","",IFERROR(INDEX(Measures!$F$6:$F$65,MATCH(B30,Measures!$A$6:$A$65,0)),""))</f>
        <v/>
      </c>
      <c r="E30" s="20"/>
      <c r="F30" s="20"/>
      <c r="G30" s="20"/>
      <c r="H30" s="20"/>
      <c r="I30" s="20"/>
    </row>
    <row r="31" spans="1:9" x14ac:dyDescent="0.45">
      <c r="A31" s="70"/>
      <c r="B31" s="20"/>
      <c r="C31" s="15" t="str">
        <f>IF(B31="","",IFERROR(INDEX(Measures!$C$6:$C$65,MATCH(B31,Measures!$A$6:$A$65,0)),"Not found"))</f>
        <v/>
      </c>
      <c r="D31" s="15" t="str">
        <f>IF(B31="","",IFERROR(INDEX(Measures!$F$6:$F$65,MATCH(B31,Measures!$A$6:$A$65,0)),""))</f>
        <v/>
      </c>
      <c r="E31" s="20"/>
      <c r="F31" s="20"/>
      <c r="G31" s="20"/>
      <c r="H31" s="20"/>
      <c r="I31" s="20"/>
    </row>
    <row r="32" spans="1:9" x14ac:dyDescent="0.45">
      <c r="A32" s="70"/>
      <c r="B32" s="20"/>
      <c r="C32" s="15" t="str">
        <f>IF(B32="","",IFERROR(INDEX(Measures!$C$6:$C$65,MATCH(B32,Measures!$A$6:$A$65,0)),"Not found"))</f>
        <v/>
      </c>
      <c r="D32" s="15" t="str">
        <f>IF(B32="","",IFERROR(INDEX(Measures!$F$6:$F$65,MATCH(B32,Measures!$A$6:$A$65,0)),""))</f>
        <v/>
      </c>
      <c r="E32" s="20"/>
      <c r="F32" s="20"/>
      <c r="G32" s="20"/>
      <c r="H32" s="20"/>
      <c r="I32" s="20"/>
    </row>
    <row r="33" spans="1:9" x14ac:dyDescent="0.45">
      <c r="A33" s="70"/>
      <c r="B33" s="20"/>
      <c r="C33" s="15" t="str">
        <f>IF(B33="","",IFERROR(INDEX(Measures!$C$6:$C$65,MATCH(B33,Measures!$A$6:$A$65,0)),"Not found"))</f>
        <v/>
      </c>
      <c r="D33" s="15" t="str">
        <f>IF(B33="","",IFERROR(INDEX(Measures!$F$6:$F$65,MATCH(B33,Measures!$A$6:$A$65,0)),""))</f>
        <v/>
      </c>
      <c r="E33" s="20"/>
      <c r="F33" s="20"/>
      <c r="G33" s="20"/>
      <c r="H33" s="20"/>
      <c r="I33" s="20"/>
    </row>
    <row r="34" spans="1:9" x14ac:dyDescent="0.45">
      <c r="A34" s="70"/>
      <c r="B34" s="20"/>
      <c r="C34" s="15" t="str">
        <f>IF(B34="","",IFERROR(INDEX(Measures!$C$6:$C$65,MATCH(B34,Measures!$A$6:$A$65,0)),"Not found"))</f>
        <v/>
      </c>
      <c r="D34" s="15" t="str">
        <f>IF(B34="","",IFERROR(INDEX(Measures!$F$6:$F$65,MATCH(B34,Measures!$A$6:$A$65,0)),""))</f>
        <v/>
      </c>
      <c r="E34" s="20"/>
      <c r="F34" s="20"/>
      <c r="G34" s="20"/>
      <c r="H34" s="20"/>
      <c r="I34" s="20"/>
    </row>
    <row r="35" spans="1:9" x14ac:dyDescent="0.45">
      <c r="A35" s="70"/>
      <c r="B35" s="20"/>
      <c r="C35" s="15" t="str">
        <f>IF(B35="","",IFERROR(INDEX(Measures!$C$6:$C$65,MATCH(B35,Measures!$A$6:$A$65,0)),"Not found"))</f>
        <v/>
      </c>
      <c r="D35" s="15" t="str">
        <f>IF(B35="","",IFERROR(INDEX(Measures!$F$6:$F$65,MATCH(B35,Measures!$A$6:$A$65,0)),""))</f>
        <v/>
      </c>
      <c r="E35" s="20"/>
      <c r="F35" s="20"/>
      <c r="G35" s="20"/>
      <c r="H35" s="20"/>
      <c r="I35" s="20"/>
    </row>
    <row r="36" spans="1:9" x14ac:dyDescent="0.45">
      <c r="A36" s="70"/>
      <c r="B36" s="20"/>
      <c r="C36" s="15" t="str">
        <f>IF(B36="","",IFERROR(INDEX(Measures!$C$6:$C$65,MATCH(B36,Measures!$A$6:$A$65,0)),"Not found"))</f>
        <v/>
      </c>
      <c r="D36" s="15" t="str">
        <f>IF(B36="","",IFERROR(INDEX(Measures!$F$6:$F$65,MATCH(B36,Measures!$A$6:$A$65,0)),""))</f>
        <v/>
      </c>
      <c r="E36" s="20"/>
      <c r="F36" s="20"/>
      <c r="G36" s="20"/>
      <c r="H36" s="20"/>
      <c r="I36" s="20"/>
    </row>
    <row r="37" spans="1:9" x14ac:dyDescent="0.45">
      <c r="A37" s="70"/>
      <c r="B37" s="20"/>
      <c r="C37" s="15" t="str">
        <f>IF(B37="","",IFERROR(INDEX(Measures!$C$6:$C$65,MATCH(B37,Measures!$A$6:$A$65,0)),"Not found"))</f>
        <v/>
      </c>
      <c r="D37" s="15" t="str">
        <f>IF(B37="","",IFERROR(INDEX(Measures!$F$6:$F$65,MATCH(B37,Measures!$A$6:$A$65,0)),""))</f>
        <v/>
      </c>
      <c r="E37" s="20"/>
      <c r="F37" s="20"/>
      <c r="G37" s="20"/>
      <c r="H37" s="20"/>
      <c r="I37" s="20"/>
    </row>
    <row r="38" spans="1:9" x14ac:dyDescent="0.45">
      <c r="A38" s="70"/>
      <c r="B38" s="20"/>
      <c r="C38" s="15" t="str">
        <f>IF(B38="","",IFERROR(INDEX(Measures!$C$6:$C$65,MATCH(B38,Measures!$A$6:$A$65,0)),"Not found"))</f>
        <v/>
      </c>
      <c r="D38" s="15" t="str">
        <f>IF(B38="","",IFERROR(INDEX(Measures!$F$6:$F$65,MATCH(B38,Measures!$A$6:$A$65,0)),""))</f>
        <v/>
      </c>
      <c r="E38" s="20"/>
      <c r="F38" s="20"/>
      <c r="G38" s="20"/>
      <c r="H38" s="20"/>
      <c r="I38" s="20"/>
    </row>
    <row r="39" spans="1:9" x14ac:dyDescent="0.45">
      <c r="A39" s="70"/>
      <c r="B39" s="20"/>
      <c r="C39" s="15" t="str">
        <f>IF(B39="","",IFERROR(INDEX(Measures!$C$6:$C$65,MATCH(B39,Measures!$A$6:$A$65,0)),"Not found"))</f>
        <v/>
      </c>
      <c r="D39" s="15" t="str">
        <f>IF(B39="","",IFERROR(INDEX(Measures!$F$6:$F$65,MATCH(B39,Measures!$A$6:$A$65,0)),""))</f>
        <v/>
      </c>
      <c r="E39" s="20"/>
      <c r="F39" s="20"/>
      <c r="G39" s="20"/>
      <c r="H39" s="20"/>
      <c r="I39" s="20"/>
    </row>
    <row r="40" spans="1:9" x14ac:dyDescent="0.45">
      <c r="A40" s="70"/>
      <c r="B40" s="20"/>
      <c r="C40" s="15" t="str">
        <f>IF(B40="","",IFERROR(INDEX(Measures!$C$6:$C$65,MATCH(B40,Measures!$A$6:$A$65,0)),"Not found"))</f>
        <v/>
      </c>
      <c r="D40" s="15" t="str">
        <f>IF(B40="","",IFERROR(INDEX(Measures!$F$6:$F$65,MATCH(B40,Measures!$A$6:$A$65,0)),""))</f>
        <v/>
      </c>
      <c r="E40" s="20"/>
      <c r="F40" s="20"/>
      <c r="G40" s="20"/>
      <c r="H40" s="20"/>
      <c r="I40" s="20"/>
    </row>
    <row r="41" spans="1:9" x14ac:dyDescent="0.45">
      <c r="A41" s="70"/>
      <c r="B41" s="20"/>
      <c r="C41" s="15" t="str">
        <f>IF(B41="","",IFERROR(INDEX(Measures!$C$6:$C$65,MATCH(B41,Measures!$A$6:$A$65,0)),"Not found"))</f>
        <v/>
      </c>
      <c r="D41" s="15" t="str">
        <f>IF(B41="","",IFERROR(INDEX(Measures!$F$6:$F$65,MATCH(B41,Measures!$A$6:$A$65,0)),""))</f>
        <v/>
      </c>
      <c r="E41" s="20"/>
      <c r="F41" s="20"/>
      <c r="G41" s="20"/>
      <c r="H41" s="20"/>
      <c r="I41" s="20"/>
    </row>
    <row r="42" spans="1:9" x14ac:dyDescent="0.45">
      <c r="A42" s="70"/>
      <c r="B42" s="20"/>
      <c r="C42" s="15" t="str">
        <f>IF(B42="","",IFERROR(INDEX(Measures!$C$6:$C$65,MATCH(B42,Measures!$A$6:$A$65,0)),"Not found"))</f>
        <v/>
      </c>
      <c r="D42" s="15" t="str">
        <f>IF(B42="","",IFERROR(INDEX(Measures!$F$6:$F$65,MATCH(B42,Measures!$A$6:$A$65,0)),""))</f>
        <v/>
      </c>
      <c r="E42" s="20"/>
      <c r="F42" s="20"/>
      <c r="G42" s="20"/>
      <c r="H42" s="20"/>
      <c r="I42" s="20"/>
    </row>
    <row r="43" spans="1:9" x14ac:dyDescent="0.45">
      <c r="A43" s="70"/>
      <c r="B43" s="20"/>
      <c r="C43" s="15" t="str">
        <f>IF(B43="","",IFERROR(INDEX(Measures!$C$6:$C$65,MATCH(B43,Measures!$A$6:$A$65,0)),"Not found"))</f>
        <v/>
      </c>
      <c r="D43" s="15" t="str">
        <f>IF(B43="","",IFERROR(INDEX(Measures!$F$6:$F$65,MATCH(B43,Measures!$A$6:$A$65,0)),""))</f>
        <v/>
      </c>
      <c r="E43" s="20"/>
      <c r="F43" s="20"/>
      <c r="G43" s="20"/>
      <c r="H43" s="20"/>
      <c r="I43" s="20"/>
    </row>
    <row r="44" spans="1:9" x14ac:dyDescent="0.45">
      <c r="A44" s="70"/>
      <c r="B44" s="20"/>
      <c r="C44" s="15" t="str">
        <f>IF(B44="","",IFERROR(INDEX(Measures!$C$6:$C$65,MATCH(B44,Measures!$A$6:$A$65,0)),"Not found"))</f>
        <v/>
      </c>
      <c r="D44" s="15" t="str">
        <f>IF(B44="","",IFERROR(INDEX(Measures!$F$6:$F$65,MATCH(B44,Measures!$A$6:$A$65,0)),""))</f>
        <v/>
      </c>
      <c r="E44" s="20"/>
      <c r="F44" s="20"/>
      <c r="G44" s="20"/>
      <c r="H44" s="20"/>
      <c r="I44" s="20"/>
    </row>
    <row r="45" spans="1:9" x14ac:dyDescent="0.45">
      <c r="A45" s="70"/>
      <c r="B45" s="20"/>
      <c r="C45" s="15" t="str">
        <f>IF(B45="","",IFERROR(INDEX(Measures!$C$6:$C$65,MATCH(B45,Measures!$A$6:$A$65,0)),"Not found"))</f>
        <v/>
      </c>
      <c r="D45" s="15" t="str">
        <f>IF(B45="","",IFERROR(INDEX(Measures!$F$6:$F$65,MATCH(B45,Measures!$A$6:$A$65,0)),""))</f>
        <v/>
      </c>
      <c r="E45" s="20"/>
      <c r="F45" s="20"/>
      <c r="G45" s="20"/>
      <c r="H45" s="20"/>
      <c r="I45" s="20"/>
    </row>
    <row r="46" spans="1:9" x14ac:dyDescent="0.45">
      <c r="A46" s="70"/>
      <c r="B46" s="20"/>
      <c r="C46" s="15" t="str">
        <f>IF(B46="","",IFERROR(INDEX(Measures!$C$6:$C$65,MATCH(B46,Measures!$A$6:$A$65,0)),"Not found"))</f>
        <v/>
      </c>
      <c r="D46" s="15" t="str">
        <f>IF(B46="","",IFERROR(INDEX(Measures!$F$6:$F$65,MATCH(B46,Measures!$A$6:$A$65,0)),""))</f>
        <v/>
      </c>
      <c r="E46" s="20"/>
      <c r="F46" s="20"/>
      <c r="G46" s="20"/>
      <c r="H46" s="20"/>
      <c r="I46" s="20"/>
    </row>
    <row r="47" spans="1:9" x14ac:dyDescent="0.45">
      <c r="A47" s="70"/>
      <c r="B47" s="20"/>
      <c r="C47" s="15" t="str">
        <f>IF(B47="","",IFERROR(INDEX(Measures!$C$6:$C$65,MATCH(B47,Measures!$A$6:$A$65,0)),"Not found"))</f>
        <v/>
      </c>
      <c r="D47" s="15" t="str">
        <f>IF(B47="","",IFERROR(INDEX(Measures!$F$6:$F$65,MATCH(B47,Measures!$A$6:$A$65,0)),""))</f>
        <v/>
      </c>
      <c r="E47" s="20"/>
      <c r="F47" s="20"/>
      <c r="G47" s="20"/>
      <c r="H47" s="20"/>
      <c r="I47" s="20"/>
    </row>
    <row r="48" spans="1:9" x14ac:dyDescent="0.45">
      <c r="A48" s="70"/>
      <c r="B48" s="20"/>
      <c r="C48" s="15" t="str">
        <f>IF(B48="","",IFERROR(INDEX(Measures!$C$6:$C$65,MATCH(B48,Measures!$A$6:$A$65,0)),"Not found"))</f>
        <v/>
      </c>
      <c r="D48" s="15" t="str">
        <f>IF(B48="","",IFERROR(INDEX(Measures!$F$6:$F$65,MATCH(B48,Measures!$A$6:$A$65,0)),""))</f>
        <v/>
      </c>
      <c r="E48" s="20"/>
      <c r="F48" s="20"/>
      <c r="G48" s="20"/>
      <c r="H48" s="20"/>
      <c r="I48" s="20"/>
    </row>
    <row r="49" spans="1:9" x14ac:dyDescent="0.45">
      <c r="A49" s="70"/>
      <c r="B49" s="20"/>
      <c r="C49" s="15" t="str">
        <f>IF(B49="","",IFERROR(INDEX(Measures!$C$6:$C$65,MATCH(B49,Measures!$A$6:$A$65,0)),"Not found"))</f>
        <v/>
      </c>
      <c r="D49" s="15" t="str">
        <f>IF(B49="","",IFERROR(INDEX(Measures!$F$6:$F$65,MATCH(B49,Measures!$A$6:$A$65,0)),""))</f>
        <v/>
      </c>
      <c r="E49" s="20"/>
      <c r="F49" s="20"/>
      <c r="G49" s="20"/>
      <c r="H49" s="20"/>
      <c r="I49" s="20"/>
    </row>
    <row r="50" spans="1:9" x14ac:dyDescent="0.45">
      <c r="A50" s="70"/>
      <c r="B50" s="20"/>
      <c r="C50" s="15" t="str">
        <f>IF(B50="","",IFERROR(INDEX(Measures!$C$6:$C$65,MATCH(B50,Measures!$A$6:$A$65,0)),"Not found"))</f>
        <v/>
      </c>
      <c r="D50" s="15" t="str">
        <f>IF(B50="","",IFERROR(INDEX(Measures!$F$6:$F$65,MATCH(B50,Measures!$A$6:$A$65,0)),""))</f>
        <v/>
      </c>
      <c r="E50" s="20"/>
      <c r="F50" s="20"/>
      <c r="G50" s="20"/>
      <c r="H50" s="20"/>
      <c r="I50" s="20"/>
    </row>
    <row r="51" spans="1:9" x14ac:dyDescent="0.45">
      <c r="A51" s="70"/>
      <c r="B51" s="20"/>
      <c r="C51" s="15" t="str">
        <f>IF(B51="","",IFERROR(INDEX(Measures!$C$6:$C$65,MATCH(B51,Measures!$A$6:$A$65,0)),"Not found"))</f>
        <v/>
      </c>
      <c r="D51" s="15" t="str">
        <f>IF(B51="","",IFERROR(INDEX(Measures!$F$6:$F$65,MATCH(B51,Measures!$A$6:$A$65,0)),""))</f>
        <v/>
      </c>
      <c r="E51" s="20"/>
      <c r="F51" s="20"/>
      <c r="G51" s="20"/>
      <c r="H51" s="20"/>
      <c r="I51" s="20"/>
    </row>
    <row r="52" spans="1:9" x14ac:dyDescent="0.45">
      <c r="A52" s="70"/>
      <c r="B52" s="20"/>
      <c r="C52" s="15" t="str">
        <f>IF(B52="","",IFERROR(INDEX(Measures!$C$6:$C$65,MATCH(B52,Measures!$A$6:$A$65,0)),"Not found"))</f>
        <v/>
      </c>
      <c r="D52" s="15" t="str">
        <f>IF(B52="","",IFERROR(INDEX(Measures!$F$6:$F$65,MATCH(B52,Measures!$A$6:$A$65,0)),""))</f>
        <v/>
      </c>
      <c r="E52" s="20"/>
      <c r="F52" s="20"/>
      <c r="G52" s="20"/>
      <c r="H52" s="20"/>
      <c r="I52" s="20"/>
    </row>
    <row r="53" spans="1:9" x14ac:dyDescent="0.45">
      <c r="A53" s="70"/>
      <c r="B53" s="20"/>
      <c r="C53" s="15" t="str">
        <f>IF(B53="","",IFERROR(INDEX(Measures!$C$6:$C$65,MATCH(B53,Measures!$A$6:$A$65,0)),"Not found"))</f>
        <v/>
      </c>
      <c r="D53" s="15" t="str">
        <f>IF(B53="","",IFERROR(INDEX(Measures!$F$6:$F$65,MATCH(B53,Measures!$A$6:$A$65,0)),""))</f>
        <v/>
      </c>
      <c r="E53" s="20"/>
      <c r="F53" s="20"/>
      <c r="G53" s="20"/>
      <c r="H53" s="20"/>
      <c r="I53" s="20"/>
    </row>
    <row r="54" spans="1:9" x14ac:dyDescent="0.45">
      <c r="A54" s="70"/>
      <c r="B54" s="20"/>
      <c r="C54" s="15" t="str">
        <f>IF(B54="","",IFERROR(INDEX(Measures!$C$6:$C$65,MATCH(B54,Measures!$A$6:$A$65,0)),"Not found"))</f>
        <v/>
      </c>
      <c r="D54" s="15" t="str">
        <f>IF(B54="","",IFERROR(INDEX(Measures!$F$6:$F$65,MATCH(B54,Measures!$A$6:$A$65,0)),""))</f>
        <v/>
      </c>
      <c r="E54" s="20"/>
      <c r="F54" s="20"/>
      <c r="G54" s="20"/>
      <c r="H54" s="20"/>
      <c r="I54" s="20"/>
    </row>
    <row r="55" spans="1:9" x14ac:dyDescent="0.45">
      <c r="A55" s="70"/>
      <c r="B55" s="20"/>
      <c r="C55" s="15" t="str">
        <f>IF(B55="","",IFERROR(INDEX(Measures!$C$6:$C$65,MATCH(B55,Measures!$A$6:$A$65,0)),"Not found"))</f>
        <v/>
      </c>
      <c r="D55" s="15" t="str">
        <f>IF(B55="","",IFERROR(INDEX(Measures!$F$6:$F$65,MATCH(B55,Measures!$A$6:$A$65,0)),""))</f>
        <v/>
      </c>
      <c r="E55" s="20"/>
      <c r="F55" s="20"/>
      <c r="G55" s="20"/>
      <c r="H55" s="20"/>
      <c r="I55" s="20"/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="Pick a value from the list." xr:uid="{00000000-0002-0000-0A00-000000000000}">
          <x14:formula1>
            <xm:f>Measures!$A$6:$A$65</xm:f>
          </x14:formula1>
          <x14:formula2>
            <xm:f>0</xm:f>
          </x14:formula2>
          <xm:sqref>B6:B55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9D3CC"/>
  </sheetPr>
  <dimension ref="A1:M65"/>
  <sheetViews>
    <sheetView showGridLines="0" zoomScaleNormal="100" workbookViewId="0">
      <selection activeCell="G19" sqref="G19"/>
    </sheetView>
  </sheetViews>
  <sheetFormatPr defaultColWidth="8.6640625" defaultRowHeight="14.25" x14ac:dyDescent="0.45"/>
  <cols>
    <col min="1" max="1" width="8" customWidth="1"/>
    <col min="2" max="13" width="6" customWidth="1"/>
  </cols>
  <sheetData>
    <row r="1" spans="1:13" ht="20.65" x14ac:dyDescent="0.6">
      <c r="A1" s="11" t="s">
        <v>357</v>
      </c>
    </row>
    <row r="2" spans="1:13" x14ac:dyDescent="0.45">
      <c r="A2" s="12" t="s">
        <v>358</v>
      </c>
    </row>
    <row r="5" spans="1:13" ht="30" customHeight="1" x14ac:dyDescent="0.45">
      <c r="A5" s="33" t="s">
        <v>55</v>
      </c>
      <c r="B5" s="33" t="s">
        <v>68</v>
      </c>
      <c r="C5" s="33" t="s">
        <v>69</v>
      </c>
      <c r="D5" s="33" t="s">
        <v>70</v>
      </c>
      <c r="E5" s="33" t="s">
        <v>71</v>
      </c>
      <c r="F5" s="33" t="s">
        <v>72</v>
      </c>
      <c r="G5" s="33" t="s">
        <v>73</v>
      </c>
      <c r="H5" s="33" t="s">
        <v>74</v>
      </c>
      <c r="I5" s="33" t="s">
        <v>75</v>
      </c>
      <c r="J5" s="33" t="s">
        <v>76</v>
      </c>
      <c r="K5" s="33" t="s">
        <v>77</v>
      </c>
      <c r="L5" s="33" t="s">
        <v>78</v>
      </c>
      <c r="M5" s="33" t="s">
        <v>79</v>
      </c>
    </row>
    <row r="6" spans="1:13" x14ac:dyDescent="0.45">
      <c r="A6" s="15" t="str">
        <f>Tracker!A6</f>
        <v>K01</v>
      </c>
      <c r="B6" s="35" t="str">
        <f>IF(OR(Tracker!$A6="",Tracker!L6="",Tracker!$I6="",Tracker!$J6=""),"",IF(Tracker!$H6="Higher",IF(Tracker!L6&gt;=Tracker!$I6,"G",IF(Tracker!L6&gt;=Tracker!$J6,"A","R")),IF(Tracker!L6&lt;=Tracker!$I6,"G",IF(Tracker!L6&lt;=Tracker!$J6,"A","R"))))</f>
        <v>R</v>
      </c>
      <c r="C6" s="35" t="str">
        <f>IF(OR(Tracker!$A6="",Tracker!M6="",Tracker!$I6="",Tracker!$J6=""),"",IF(Tracker!$H6="Higher",IF(Tracker!M6&gt;=Tracker!$I6,"G",IF(Tracker!M6&gt;=Tracker!$J6,"A","R")),IF(Tracker!M6&lt;=Tracker!$I6,"G",IF(Tracker!M6&lt;=Tracker!$J6,"A","R"))))</f>
        <v>R</v>
      </c>
      <c r="D6" s="35" t="str">
        <f>IF(OR(Tracker!$A6="",Tracker!N6="",Tracker!$I6="",Tracker!$J6=""),"",IF(Tracker!$H6="Higher",IF(Tracker!N6&gt;=Tracker!$I6,"G",IF(Tracker!N6&gt;=Tracker!$J6,"A","R")),IF(Tracker!N6&lt;=Tracker!$I6,"G",IF(Tracker!N6&lt;=Tracker!$J6,"A","R"))))</f>
        <v>R</v>
      </c>
      <c r="E6" s="35" t="str">
        <f>IF(OR(Tracker!$A6="",Tracker!O6="",Tracker!$I6="",Tracker!$J6=""),"",IF(Tracker!$H6="Higher",IF(Tracker!O6&gt;=Tracker!$I6,"G",IF(Tracker!O6&gt;=Tracker!$J6,"A","R")),IF(Tracker!O6&lt;=Tracker!$I6,"G",IF(Tracker!O6&lt;=Tracker!$J6,"A","R"))))</f>
        <v>R</v>
      </c>
      <c r="F6" s="35" t="str">
        <f>IF(OR(Tracker!$A6="",Tracker!P6="",Tracker!$I6="",Tracker!$J6=""),"",IF(Tracker!$H6="Higher",IF(Tracker!P6&gt;=Tracker!$I6,"G",IF(Tracker!P6&gt;=Tracker!$J6,"A","R")),IF(Tracker!P6&lt;=Tracker!$I6,"G",IF(Tracker!P6&lt;=Tracker!$J6,"A","R"))))</f>
        <v>A</v>
      </c>
      <c r="G6" s="35" t="str">
        <f>IF(OR(Tracker!$A6="",Tracker!Q6="",Tracker!$I6="",Tracker!$J6=""),"",IF(Tracker!$H6="Higher",IF(Tracker!Q6&gt;=Tracker!$I6,"G",IF(Tracker!Q6&gt;=Tracker!$J6,"A","R")),IF(Tracker!Q6&lt;=Tracker!$I6,"G",IF(Tracker!Q6&lt;=Tracker!$J6,"A","R"))))</f>
        <v>A</v>
      </c>
      <c r="H6" s="35" t="str">
        <f>IF(OR(Tracker!$A6="",Tracker!R6="",Tracker!$I6="",Tracker!$J6=""),"",IF(Tracker!$H6="Higher",IF(Tracker!R6&gt;=Tracker!$I6,"G",IF(Tracker!R6&gt;=Tracker!$J6,"A","R")),IF(Tracker!R6&lt;=Tracker!$I6,"G",IF(Tracker!R6&lt;=Tracker!$J6,"A","R"))))</f>
        <v>A</v>
      </c>
      <c r="I6" s="35" t="str">
        <f>IF(OR(Tracker!$A6="",Tracker!S6="",Tracker!$I6="",Tracker!$J6=""),"",IF(Tracker!$H6="Higher",IF(Tracker!S6&gt;=Tracker!$I6,"G",IF(Tracker!S6&gt;=Tracker!$J6,"A","R")),IF(Tracker!S6&lt;=Tracker!$I6,"G",IF(Tracker!S6&lt;=Tracker!$J6,"A","R"))))</f>
        <v>A</v>
      </c>
      <c r="J6" s="35" t="str">
        <f>IF(OR(Tracker!$A6="",Tracker!T6="",Tracker!$I6="",Tracker!$J6=""),"",IF(Tracker!$H6="Higher",IF(Tracker!T6&gt;=Tracker!$I6,"G",IF(Tracker!T6&gt;=Tracker!$J6,"A","R")),IF(Tracker!T6&lt;=Tracker!$I6,"G",IF(Tracker!T6&lt;=Tracker!$J6,"A","R"))))</f>
        <v>A</v>
      </c>
      <c r="K6" s="35" t="str">
        <f>IF(OR(Tracker!$A6="",Tracker!U6="",Tracker!$I6="",Tracker!$J6=""),"",IF(Tracker!$H6="Higher",IF(Tracker!U6&gt;=Tracker!$I6,"G",IF(Tracker!U6&gt;=Tracker!$J6,"A","R")),IF(Tracker!U6&lt;=Tracker!$I6,"G",IF(Tracker!U6&lt;=Tracker!$J6,"A","R"))))</f>
        <v/>
      </c>
      <c r="L6" s="35" t="str">
        <f>IF(OR(Tracker!$A6="",Tracker!V6="",Tracker!$I6="",Tracker!$J6=""),"",IF(Tracker!$H6="Higher",IF(Tracker!V6&gt;=Tracker!$I6,"G",IF(Tracker!V6&gt;=Tracker!$J6,"A","R")),IF(Tracker!V6&lt;=Tracker!$I6,"G",IF(Tracker!V6&lt;=Tracker!$J6,"A","R"))))</f>
        <v/>
      </c>
      <c r="M6" s="35" t="str">
        <f>IF(OR(Tracker!$A6="",Tracker!W6="",Tracker!$I6="",Tracker!$J6=""),"",IF(Tracker!$H6="Higher",IF(Tracker!W6&gt;=Tracker!$I6,"G",IF(Tracker!W6&gt;=Tracker!$J6,"A","R")),IF(Tracker!W6&lt;=Tracker!$I6,"G",IF(Tracker!W6&lt;=Tracker!$J6,"A","R"))))</f>
        <v/>
      </c>
    </row>
    <row r="7" spans="1:13" x14ac:dyDescent="0.45">
      <c r="A7" s="15" t="str">
        <f>Tracker!A7</f>
        <v>K02</v>
      </c>
      <c r="B7" s="35" t="str">
        <f>IF(OR(Tracker!$A7="",Tracker!L7="",Tracker!$I7="",Tracker!$J7=""),"",IF(Tracker!$H7="Higher",IF(Tracker!L7&gt;=Tracker!$I7,"G",IF(Tracker!L7&gt;=Tracker!$J7,"A","R")),IF(Tracker!L7&lt;=Tracker!$I7,"G",IF(Tracker!L7&lt;=Tracker!$J7,"A","R"))))</f>
        <v>A</v>
      </c>
      <c r="C7" s="35" t="str">
        <f>IF(OR(Tracker!$A7="",Tracker!M7="",Tracker!$I7="",Tracker!$J7=""),"",IF(Tracker!$H7="Higher",IF(Tracker!M7&gt;=Tracker!$I7,"G",IF(Tracker!M7&gt;=Tracker!$J7,"A","R")),IF(Tracker!M7&lt;=Tracker!$I7,"G",IF(Tracker!M7&lt;=Tracker!$J7,"A","R"))))</f>
        <v>A</v>
      </c>
      <c r="D7" s="35" t="str">
        <f>IF(OR(Tracker!$A7="",Tracker!N7="",Tracker!$I7="",Tracker!$J7=""),"",IF(Tracker!$H7="Higher",IF(Tracker!N7&gt;=Tracker!$I7,"G",IF(Tracker!N7&gt;=Tracker!$J7,"A","R")),IF(Tracker!N7&lt;=Tracker!$I7,"G",IF(Tracker!N7&lt;=Tracker!$J7,"A","R"))))</f>
        <v>A</v>
      </c>
      <c r="E7" s="35" t="str">
        <f>IF(OR(Tracker!$A7="",Tracker!O7="",Tracker!$I7="",Tracker!$J7=""),"",IF(Tracker!$H7="Higher",IF(Tracker!O7&gt;=Tracker!$I7,"G",IF(Tracker!O7&gt;=Tracker!$J7,"A","R")),IF(Tracker!O7&lt;=Tracker!$I7,"G",IF(Tracker!O7&lt;=Tracker!$J7,"A","R"))))</f>
        <v>A</v>
      </c>
      <c r="F7" s="35" t="str">
        <f>IF(OR(Tracker!$A7="",Tracker!P7="",Tracker!$I7="",Tracker!$J7=""),"",IF(Tracker!$H7="Higher",IF(Tracker!P7&gt;=Tracker!$I7,"G",IF(Tracker!P7&gt;=Tracker!$J7,"A","R")),IF(Tracker!P7&lt;=Tracker!$I7,"G",IF(Tracker!P7&lt;=Tracker!$J7,"A","R"))))</f>
        <v>A</v>
      </c>
      <c r="G7" s="35" t="str">
        <f>IF(OR(Tracker!$A7="",Tracker!Q7="",Tracker!$I7="",Tracker!$J7=""),"",IF(Tracker!$H7="Higher",IF(Tracker!Q7&gt;=Tracker!$I7,"G",IF(Tracker!Q7&gt;=Tracker!$J7,"A","R")),IF(Tracker!Q7&lt;=Tracker!$I7,"G",IF(Tracker!Q7&lt;=Tracker!$J7,"A","R"))))</f>
        <v>A</v>
      </c>
      <c r="H7" s="35" t="str">
        <f>IF(OR(Tracker!$A7="",Tracker!R7="",Tracker!$I7="",Tracker!$J7=""),"",IF(Tracker!$H7="Higher",IF(Tracker!R7&gt;=Tracker!$I7,"G",IF(Tracker!R7&gt;=Tracker!$J7,"A","R")),IF(Tracker!R7&lt;=Tracker!$I7,"G",IF(Tracker!R7&lt;=Tracker!$J7,"A","R"))))</f>
        <v>G</v>
      </c>
      <c r="I7" s="35" t="str">
        <f>IF(OR(Tracker!$A7="",Tracker!S7="",Tracker!$I7="",Tracker!$J7=""),"",IF(Tracker!$H7="Higher",IF(Tracker!S7&gt;=Tracker!$I7,"G",IF(Tracker!S7&gt;=Tracker!$J7,"A","R")),IF(Tracker!S7&lt;=Tracker!$I7,"G",IF(Tracker!S7&lt;=Tracker!$J7,"A","R"))))</f>
        <v>G</v>
      </c>
      <c r="J7" s="35" t="str">
        <f>IF(OR(Tracker!$A7="",Tracker!T7="",Tracker!$I7="",Tracker!$J7=""),"",IF(Tracker!$H7="Higher",IF(Tracker!T7&gt;=Tracker!$I7,"G",IF(Tracker!T7&gt;=Tracker!$J7,"A","R")),IF(Tracker!T7&lt;=Tracker!$I7,"G",IF(Tracker!T7&lt;=Tracker!$J7,"A","R"))))</f>
        <v>G</v>
      </c>
      <c r="K7" s="35" t="str">
        <f>IF(OR(Tracker!$A7="",Tracker!U7="",Tracker!$I7="",Tracker!$J7=""),"",IF(Tracker!$H7="Higher",IF(Tracker!U7&gt;=Tracker!$I7,"G",IF(Tracker!U7&gt;=Tracker!$J7,"A","R")),IF(Tracker!U7&lt;=Tracker!$I7,"G",IF(Tracker!U7&lt;=Tracker!$J7,"A","R"))))</f>
        <v/>
      </c>
      <c r="L7" s="35" t="str">
        <f>IF(OR(Tracker!$A7="",Tracker!V7="",Tracker!$I7="",Tracker!$J7=""),"",IF(Tracker!$H7="Higher",IF(Tracker!V7&gt;=Tracker!$I7,"G",IF(Tracker!V7&gt;=Tracker!$J7,"A","R")),IF(Tracker!V7&lt;=Tracker!$I7,"G",IF(Tracker!V7&lt;=Tracker!$J7,"A","R"))))</f>
        <v/>
      </c>
      <c r="M7" s="35" t="str">
        <f>IF(OR(Tracker!$A7="",Tracker!W7="",Tracker!$I7="",Tracker!$J7=""),"",IF(Tracker!$H7="Higher",IF(Tracker!W7&gt;=Tracker!$I7,"G",IF(Tracker!W7&gt;=Tracker!$J7,"A","R")),IF(Tracker!W7&lt;=Tracker!$I7,"G",IF(Tracker!W7&lt;=Tracker!$J7,"A","R"))))</f>
        <v/>
      </c>
    </row>
    <row r="8" spans="1:13" x14ac:dyDescent="0.45">
      <c r="A8" s="15" t="str">
        <f>Tracker!A8</f>
        <v>R11</v>
      </c>
      <c r="B8" s="35" t="str">
        <f>IF(OR(Tracker!$A8="",Tracker!L8="",Tracker!$I8="",Tracker!$J8=""),"",IF(Tracker!$H8="Higher",IF(Tracker!L8&gt;=Tracker!$I8,"G",IF(Tracker!L8&gt;=Tracker!$J8,"A","R")),IF(Tracker!L8&lt;=Tracker!$I8,"G",IF(Tracker!L8&lt;=Tracker!$J8,"A","R"))))</f>
        <v>G</v>
      </c>
      <c r="C8" s="35" t="str">
        <f>IF(OR(Tracker!$A8="",Tracker!M8="",Tracker!$I8="",Tracker!$J8=""),"",IF(Tracker!$H8="Higher",IF(Tracker!M8&gt;=Tracker!$I8,"G",IF(Tracker!M8&gt;=Tracker!$J8,"A","R")),IF(Tracker!M8&lt;=Tracker!$I8,"G",IF(Tracker!M8&lt;=Tracker!$J8,"A","R"))))</f>
        <v>G</v>
      </c>
      <c r="D8" s="35" t="str">
        <f>IF(OR(Tracker!$A8="",Tracker!N8="",Tracker!$I8="",Tracker!$J8=""),"",IF(Tracker!$H8="Higher",IF(Tracker!N8&gt;=Tracker!$I8,"G",IF(Tracker!N8&gt;=Tracker!$J8,"A","R")),IF(Tracker!N8&lt;=Tracker!$I8,"G",IF(Tracker!N8&lt;=Tracker!$J8,"A","R"))))</f>
        <v>G</v>
      </c>
      <c r="E8" s="35" t="str">
        <f>IF(OR(Tracker!$A8="",Tracker!O8="",Tracker!$I8="",Tracker!$J8=""),"",IF(Tracker!$H8="Higher",IF(Tracker!O8&gt;=Tracker!$I8,"G",IF(Tracker!O8&gt;=Tracker!$J8,"A","R")),IF(Tracker!O8&lt;=Tracker!$I8,"G",IF(Tracker!O8&lt;=Tracker!$J8,"A","R"))))</f>
        <v>G</v>
      </c>
      <c r="F8" s="35" t="str">
        <f>IF(OR(Tracker!$A8="",Tracker!P8="",Tracker!$I8="",Tracker!$J8=""),"",IF(Tracker!$H8="Higher",IF(Tracker!P8&gt;=Tracker!$I8,"G",IF(Tracker!P8&gt;=Tracker!$J8,"A","R")),IF(Tracker!P8&lt;=Tracker!$I8,"G",IF(Tracker!P8&lt;=Tracker!$J8,"A","R"))))</f>
        <v>A</v>
      </c>
      <c r="G8" s="35" t="str">
        <f>IF(OR(Tracker!$A8="",Tracker!Q8="",Tracker!$I8="",Tracker!$J8=""),"",IF(Tracker!$H8="Higher",IF(Tracker!Q8&gt;=Tracker!$I8,"G",IF(Tracker!Q8&gt;=Tracker!$J8,"A","R")),IF(Tracker!Q8&lt;=Tracker!$I8,"G",IF(Tracker!Q8&lt;=Tracker!$J8,"A","R"))))</f>
        <v>A</v>
      </c>
      <c r="H8" s="35" t="str">
        <f>IF(OR(Tracker!$A8="",Tracker!R8="",Tracker!$I8="",Tracker!$J8=""),"",IF(Tracker!$H8="Higher",IF(Tracker!R8&gt;=Tracker!$I8,"G",IF(Tracker!R8&gt;=Tracker!$J8,"A","R")),IF(Tracker!R8&lt;=Tracker!$I8,"G",IF(Tracker!R8&lt;=Tracker!$J8,"A","R"))))</f>
        <v>A</v>
      </c>
      <c r="I8" s="35" t="str">
        <f>IF(OR(Tracker!$A8="",Tracker!S8="",Tracker!$I8="",Tracker!$J8=""),"",IF(Tracker!$H8="Higher",IF(Tracker!S8&gt;=Tracker!$I8,"G",IF(Tracker!S8&gt;=Tracker!$J8,"A","R")),IF(Tracker!S8&lt;=Tracker!$I8,"G",IF(Tracker!S8&lt;=Tracker!$J8,"A","R"))))</f>
        <v>A</v>
      </c>
      <c r="J8" s="35" t="str">
        <f>IF(OR(Tracker!$A8="",Tracker!T8="",Tracker!$I8="",Tracker!$J8=""),"",IF(Tracker!$H8="Higher",IF(Tracker!T8&gt;=Tracker!$I8,"G",IF(Tracker!T8&gt;=Tracker!$J8,"A","R")),IF(Tracker!T8&lt;=Tracker!$I8,"G",IF(Tracker!T8&lt;=Tracker!$J8,"A","R"))))</f>
        <v>A</v>
      </c>
      <c r="K8" s="35" t="str">
        <f>IF(OR(Tracker!$A8="",Tracker!U8="",Tracker!$I8="",Tracker!$J8=""),"",IF(Tracker!$H8="Higher",IF(Tracker!U8&gt;=Tracker!$I8,"G",IF(Tracker!U8&gt;=Tracker!$J8,"A","R")),IF(Tracker!U8&lt;=Tracker!$I8,"G",IF(Tracker!U8&lt;=Tracker!$J8,"A","R"))))</f>
        <v/>
      </c>
      <c r="L8" s="35" t="str">
        <f>IF(OR(Tracker!$A8="",Tracker!V8="",Tracker!$I8="",Tracker!$J8=""),"",IF(Tracker!$H8="Higher",IF(Tracker!V8&gt;=Tracker!$I8,"G",IF(Tracker!V8&gt;=Tracker!$J8,"A","R")),IF(Tracker!V8&lt;=Tracker!$I8,"G",IF(Tracker!V8&lt;=Tracker!$J8,"A","R"))))</f>
        <v/>
      </c>
      <c r="M8" s="35" t="str">
        <f>IF(OR(Tracker!$A8="",Tracker!W8="",Tracker!$I8="",Tracker!$J8=""),"",IF(Tracker!$H8="Higher",IF(Tracker!W8&gt;=Tracker!$I8,"G",IF(Tracker!W8&gt;=Tracker!$J8,"A","R")),IF(Tracker!W8&lt;=Tracker!$I8,"G",IF(Tracker!W8&lt;=Tracker!$J8,"A","R"))))</f>
        <v/>
      </c>
    </row>
    <row r="9" spans="1:13" x14ac:dyDescent="0.45">
      <c r="A9" s="15" t="str">
        <f>Tracker!A9</f>
        <v>K03</v>
      </c>
      <c r="B9" s="35" t="str">
        <f>IF(OR(Tracker!$A9="",Tracker!L9="",Tracker!$I9="",Tracker!$J9=""),"",IF(Tracker!$H9="Higher",IF(Tracker!L9&gt;=Tracker!$I9,"G",IF(Tracker!L9&gt;=Tracker!$J9,"A","R")),IF(Tracker!L9&lt;=Tracker!$I9,"G",IF(Tracker!L9&lt;=Tracker!$J9,"A","R"))))</f>
        <v>A</v>
      </c>
      <c r="C9" s="35" t="str">
        <f>IF(OR(Tracker!$A9="",Tracker!M9="",Tracker!$I9="",Tracker!$J9=""),"",IF(Tracker!$H9="Higher",IF(Tracker!M9&gt;=Tracker!$I9,"G",IF(Tracker!M9&gt;=Tracker!$J9,"A","R")),IF(Tracker!M9&lt;=Tracker!$I9,"G",IF(Tracker!M9&lt;=Tracker!$J9,"A","R"))))</f>
        <v>A</v>
      </c>
      <c r="D9" s="35" t="str">
        <f>IF(OR(Tracker!$A9="",Tracker!N9="",Tracker!$I9="",Tracker!$J9=""),"",IF(Tracker!$H9="Higher",IF(Tracker!N9&gt;=Tracker!$I9,"G",IF(Tracker!N9&gt;=Tracker!$J9,"A","R")),IF(Tracker!N9&lt;=Tracker!$I9,"G",IF(Tracker!N9&lt;=Tracker!$J9,"A","R"))))</f>
        <v>A</v>
      </c>
      <c r="E9" s="35" t="str">
        <f>IF(OR(Tracker!$A9="",Tracker!O9="",Tracker!$I9="",Tracker!$J9=""),"",IF(Tracker!$H9="Higher",IF(Tracker!O9&gt;=Tracker!$I9,"G",IF(Tracker!O9&gt;=Tracker!$J9,"A","R")),IF(Tracker!O9&lt;=Tracker!$I9,"G",IF(Tracker!O9&lt;=Tracker!$J9,"A","R"))))</f>
        <v>G</v>
      </c>
      <c r="F9" s="35" t="str">
        <f>IF(OR(Tracker!$A9="",Tracker!P9="",Tracker!$I9="",Tracker!$J9=""),"",IF(Tracker!$H9="Higher",IF(Tracker!P9&gt;=Tracker!$I9,"G",IF(Tracker!P9&gt;=Tracker!$J9,"A","R")),IF(Tracker!P9&lt;=Tracker!$I9,"G",IF(Tracker!P9&lt;=Tracker!$J9,"A","R"))))</f>
        <v>A</v>
      </c>
      <c r="G9" s="35" t="str">
        <f>IF(OR(Tracker!$A9="",Tracker!Q9="",Tracker!$I9="",Tracker!$J9=""),"",IF(Tracker!$H9="Higher",IF(Tracker!Q9&gt;=Tracker!$I9,"G",IF(Tracker!Q9&gt;=Tracker!$J9,"A","R")),IF(Tracker!Q9&lt;=Tracker!$I9,"G",IF(Tracker!Q9&lt;=Tracker!$J9,"A","R"))))</f>
        <v>G</v>
      </c>
      <c r="H9" s="35" t="str">
        <f>IF(OR(Tracker!$A9="",Tracker!R9="",Tracker!$I9="",Tracker!$J9=""),"",IF(Tracker!$H9="Higher",IF(Tracker!R9&gt;=Tracker!$I9,"G",IF(Tracker!R9&gt;=Tracker!$J9,"A","R")),IF(Tracker!R9&lt;=Tracker!$I9,"G",IF(Tracker!R9&lt;=Tracker!$J9,"A","R"))))</f>
        <v>G</v>
      </c>
      <c r="I9" s="35" t="str">
        <f>IF(OR(Tracker!$A9="",Tracker!S9="",Tracker!$I9="",Tracker!$J9=""),"",IF(Tracker!$H9="Higher",IF(Tracker!S9&gt;=Tracker!$I9,"G",IF(Tracker!S9&gt;=Tracker!$J9,"A","R")),IF(Tracker!S9&lt;=Tracker!$I9,"G",IF(Tracker!S9&lt;=Tracker!$J9,"A","R"))))</f>
        <v>A</v>
      </c>
      <c r="J9" s="35" t="str">
        <f>IF(OR(Tracker!$A9="",Tracker!T9="",Tracker!$I9="",Tracker!$J9=""),"",IF(Tracker!$H9="Higher",IF(Tracker!T9&gt;=Tracker!$I9,"G",IF(Tracker!T9&gt;=Tracker!$J9,"A","R")),IF(Tracker!T9&lt;=Tracker!$I9,"G",IF(Tracker!T9&lt;=Tracker!$J9,"A","R"))))</f>
        <v>G</v>
      </c>
      <c r="K9" s="35" t="str">
        <f>IF(OR(Tracker!$A9="",Tracker!U9="",Tracker!$I9="",Tracker!$J9=""),"",IF(Tracker!$H9="Higher",IF(Tracker!U9&gt;=Tracker!$I9,"G",IF(Tracker!U9&gt;=Tracker!$J9,"A","R")),IF(Tracker!U9&lt;=Tracker!$I9,"G",IF(Tracker!U9&lt;=Tracker!$J9,"A","R"))))</f>
        <v/>
      </c>
      <c r="L9" s="35" t="str">
        <f>IF(OR(Tracker!$A9="",Tracker!V9="",Tracker!$I9="",Tracker!$J9=""),"",IF(Tracker!$H9="Higher",IF(Tracker!V9&gt;=Tracker!$I9,"G",IF(Tracker!V9&gt;=Tracker!$J9,"A","R")),IF(Tracker!V9&lt;=Tracker!$I9,"G",IF(Tracker!V9&lt;=Tracker!$J9,"A","R"))))</f>
        <v/>
      </c>
      <c r="M9" s="35" t="str">
        <f>IF(OR(Tracker!$A9="",Tracker!W9="",Tracker!$I9="",Tracker!$J9=""),"",IF(Tracker!$H9="Higher",IF(Tracker!W9&gt;=Tracker!$I9,"G",IF(Tracker!W9&gt;=Tracker!$J9,"A","R")),IF(Tracker!W9&lt;=Tracker!$I9,"G",IF(Tracker!W9&lt;=Tracker!$J9,"A","R"))))</f>
        <v/>
      </c>
    </row>
    <row r="10" spans="1:13" x14ac:dyDescent="0.45">
      <c r="A10" s="15" t="str">
        <f>Tracker!A10</f>
        <v>K04</v>
      </c>
      <c r="B10" s="35" t="str">
        <f>IF(OR(Tracker!$A10="",Tracker!L10="",Tracker!$I10="",Tracker!$J10=""),"",IF(Tracker!$H10="Higher",IF(Tracker!L10&gt;=Tracker!$I10,"G",IF(Tracker!L10&gt;=Tracker!$J10,"A","R")),IF(Tracker!L10&lt;=Tracker!$I10,"G",IF(Tracker!L10&lt;=Tracker!$J10,"A","R"))))</f>
        <v>R</v>
      </c>
      <c r="C10" s="35" t="str">
        <f>IF(OR(Tracker!$A10="",Tracker!M10="",Tracker!$I10="",Tracker!$J10=""),"",IF(Tracker!$H10="Higher",IF(Tracker!M10&gt;=Tracker!$I10,"G",IF(Tracker!M10&gt;=Tracker!$J10,"A","R")),IF(Tracker!M10&lt;=Tracker!$I10,"G",IF(Tracker!M10&lt;=Tracker!$J10,"A","R"))))</f>
        <v>R</v>
      </c>
      <c r="D10" s="35" t="str">
        <f>IF(OR(Tracker!$A10="",Tracker!N10="",Tracker!$I10="",Tracker!$J10=""),"",IF(Tracker!$H10="Higher",IF(Tracker!N10&gt;=Tracker!$I10,"G",IF(Tracker!N10&gt;=Tracker!$J10,"A","R")),IF(Tracker!N10&lt;=Tracker!$I10,"G",IF(Tracker!N10&lt;=Tracker!$J10,"A","R"))))</f>
        <v>A</v>
      </c>
      <c r="E10" s="35" t="str">
        <f>IF(OR(Tracker!$A10="",Tracker!O10="",Tracker!$I10="",Tracker!$J10=""),"",IF(Tracker!$H10="Higher",IF(Tracker!O10&gt;=Tracker!$I10,"G",IF(Tracker!O10&gt;=Tracker!$J10,"A","R")),IF(Tracker!O10&lt;=Tracker!$I10,"G",IF(Tracker!O10&lt;=Tracker!$J10,"A","R"))))</f>
        <v>A</v>
      </c>
      <c r="F10" s="35" t="str">
        <f>IF(OR(Tracker!$A10="",Tracker!P10="",Tracker!$I10="",Tracker!$J10=""),"",IF(Tracker!$H10="Higher",IF(Tracker!P10&gt;=Tracker!$I10,"G",IF(Tracker!P10&gt;=Tracker!$J10,"A","R")),IF(Tracker!P10&lt;=Tracker!$I10,"G",IF(Tracker!P10&lt;=Tracker!$J10,"A","R"))))</f>
        <v>A</v>
      </c>
      <c r="G10" s="35" t="str">
        <f>IF(OR(Tracker!$A10="",Tracker!Q10="",Tracker!$I10="",Tracker!$J10=""),"",IF(Tracker!$H10="Higher",IF(Tracker!Q10&gt;=Tracker!$I10,"G",IF(Tracker!Q10&gt;=Tracker!$J10,"A","R")),IF(Tracker!Q10&lt;=Tracker!$I10,"G",IF(Tracker!Q10&lt;=Tracker!$J10,"A","R"))))</f>
        <v>A</v>
      </c>
      <c r="H10" s="35" t="str">
        <f>IF(OR(Tracker!$A10="",Tracker!R10="",Tracker!$I10="",Tracker!$J10=""),"",IF(Tracker!$H10="Higher",IF(Tracker!R10&gt;=Tracker!$I10,"G",IF(Tracker!R10&gt;=Tracker!$J10,"A","R")),IF(Tracker!R10&lt;=Tracker!$I10,"G",IF(Tracker!R10&lt;=Tracker!$J10,"A","R"))))</f>
        <v>A</v>
      </c>
      <c r="I10" s="35" t="str">
        <f>IF(OR(Tracker!$A10="",Tracker!S10="",Tracker!$I10="",Tracker!$J10=""),"",IF(Tracker!$H10="Higher",IF(Tracker!S10&gt;=Tracker!$I10,"G",IF(Tracker!S10&gt;=Tracker!$J10,"A","R")),IF(Tracker!S10&lt;=Tracker!$I10,"G",IF(Tracker!S10&lt;=Tracker!$J10,"A","R"))))</f>
        <v>A</v>
      </c>
      <c r="J10" s="35" t="str">
        <f>IF(OR(Tracker!$A10="",Tracker!T10="",Tracker!$I10="",Tracker!$J10=""),"",IF(Tracker!$H10="Higher",IF(Tracker!T10&gt;=Tracker!$I10,"G",IF(Tracker!T10&gt;=Tracker!$J10,"A","R")),IF(Tracker!T10&lt;=Tracker!$I10,"G",IF(Tracker!T10&lt;=Tracker!$J10,"A","R"))))</f>
        <v>G</v>
      </c>
      <c r="K10" s="35" t="str">
        <f>IF(OR(Tracker!$A10="",Tracker!U10="",Tracker!$I10="",Tracker!$J10=""),"",IF(Tracker!$H10="Higher",IF(Tracker!U10&gt;=Tracker!$I10,"G",IF(Tracker!U10&gt;=Tracker!$J10,"A","R")),IF(Tracker!U10&lt;=Tracker!$I10,"G",IF(Tracker!U10&lt;=Tracker!$J10,"A","R"))))</f>
        <v/>
      </c>
      <c r="L10" s="35" t="str">
        <f>IF(OR(Tracker!$A10="",Tracker!V10="",Tracker!$I10="",Tracker!$J10=""),"",IF(Tracker!$H10="Higher",IF(Tracker!V10&gt;=Tracker!$I10,"G",IF(Tracker!V10&gt;=Tracker!$J10,"A","R")),IF(Tracker!V10&lt;=Tracker!$I10,"G",IF(Tracker!V10&lt;=Tracker!$J10,"A","R"))))</f>
        <v/>
      </c>
      <c r="M10" s="35" t="str">
        <f>IF(OR(Tracker!$A10="",Tracker!W10="",Tracker!$I10="",Tracker!$J10=""),"",IF(Tracker!$H10="Higher",IF(Tracker!W10&gt;=Tracker!$I10,"G",IF(Tracker!W10&gt;=Tracker!$J10,"A","R")),IF(Tracker!W10&lt;=Tracker!$I10,"G",IF(Tracker!W10&lt;=Tracker!$J10,"A","R"))))</f>
        <v/>
      </c>
    </row>
    <row r="11" spans="1:13" x14ac:dyDescent="0.45">
      <c r="A11" s="15" t="str">
        <f>Tracker!A11</f>
        <v>K05</v>
      </c>
      <c r="B11" s="35" t="str">
        <f>IF(OR(Tracker!$A11="",Tracker!L11="",Tracker!$I11="",Tracker!$J11=""),"",IF(Tracker!$H11="Higher",IF(Tracker!L11&gt;=Tracker!$I11,"G",IF(Tracker!L11&gt;=Tracker!$J11,"A","R")),IF(Tracker!L11&lt;=Tracker!$I11,"G",IF(Tracker!L11&lt;=Tracker!$J11,"A","R"))))</f>
        <v>R</v>
      </c>
      <c r="C11" s="35" t="str">
        <f>IF(OR(Tracker!$A11="",Tracker!M11="",Tracker!$I11="",Tracker!$J11=""),"",IF(Tracker!$H11="Higher",IF(Tracker!M11&gt;=Tracker!$I11,"G",IF(Tracker!M11&gt;=Tracker!$J11,"A","R")),IF(Tracker!M11&lt;=Tracker!$I11,"G",IF(Tracker!M11&lt;=Tracker!$J11,"A","R"))))</f>
        <v>R</v>
      </c>
      <c r="D11" s="35" t="str">
        <f>IF(OR(Tracker!$A11="",Tracker!N11="",Tracker!$I11="",Tracker!$J11=""),"",IF(Tracker!$H11="Higher",IF(Tracker!N11&gt;=Tracker!$I11,"G",IF(Tracker!N11&gt;=Tracker!$J11,"A","R")),IF(Tracker!N11&lt;=Tracker!$I11,"G",IF(Tracker!N11&lt;=Tracker!$J11,"A","R"))))</f>
        <v>R</v>
      </c>
      <c r="E11" s="35" t="str">
        <f>IF(OR(Tracker!$A11="",Tracker!O11="",Tracker!$I11="",Tracker!$J11=""),"",IF(Tracker!$H11="Higher",IF(Tracker!O11&gt;=Tracker!$I11,"G",IF(Tracker!O11&gt;=Tracker!$J11,"A","R")),IF(Tracker!O11&lt;=Tracker!$I11,"G",IF(Tracker!O11&lt;=Tracker!$J11,"A","R"))))</f>
        <v>R</v>
      </c>
      <c r="F11" s="35" t="str">
        <f>IF(OR(Tracker!$A11="",Tracker!P11="",Tracker!$I11="",Tracker!$J11=""),"",IF(Tracker!$H11="Higher",IF(Tracker!P11&gt;=Tracker!$I11,"G",IF(Tracker!P11&gt;=Tracker!$J11,"A","R")),IF(Tracker!P11&lt;=Tracker!$I11,"G",IF(Tracker!P11&lt;=Tracker!$J11,"A","R"))))</f>
        <v>R</v>
      </c>
      <c r="G11" s="35" t="str">
        <f>IF(OR(Tracker!$A11="",Tracker!Q11="",Tracker!$I11="",Tracker!$J11=""),"",IF(Tracker!$H11="Higher",IF(Tracker!Q11&gt;=Tracker!$I11,"G",IF(Tracker!Q11&gt;=Tracker!$J11,"A","R")),IF(Tracker!Q11&lt;=Tracker!$I11,"G",IF(Tracker!Q11&lt;=Tracker!$J11,"A","R"))))</f>
        <v>R</v>
      </c>
      <c r="H11" s="35" t="str">
        <f>IF(OR(Tracker!$A11="",Tracker!R11="",Tracker!$I11="",Tracker!$J11=""),"",IF(Tracker!$H11="Higher",IF(Tracker!R11&gt;=Tracker!$I11,"G",IF(Tracker!R11&gt;=Tracker!$J11,"A","R")),IF(Tracker!R11&lt;=Tracker!$I11,"G",IF(Tracker!R11&lt;=Tracker!$J11,"A","R"))))</f>
        <v>R</v>
      </c>
      <c r="I11" s="35" t="str">
        <f>IF(OR(Tracker!$A11="",Tracker!S11="",Tracker!$I11="",Tracker!$J11=""),"",IF(Tracker!$H11="Higher",IF(Tracker!S11&gt;=Tracker!$I11,"G",IF(Tracker!S11&gt;=Tracker!$J11,"A","R")),IF(Tracker!S11&lt;=Tracker!$I11,"G",IF(Tracker!S11&lt;=Tracker!$J11,"A","R"))))</f>
        <v>R</v>
      </c>
      <c r="J11" s="35" t="str">
        <f>IF(OR(Tracker!$A11="",Tracker!T11="",Tracker!$I11="",Tracker!$J11=""),"",IF(Tracker!$H11="Higher",IF(Tracker!T11&gt;=Tracker!$I11,"G",IF(Tracker!T11&gt;=Tracker!$J11,"A","R")),IF(Tracker!T11&lt;=Tracker!$I11,"G",IF(Tracker!T11&lt;=Tracker!$J11,"A","R"))))</f>
        <v>R</v>
      </c>
      <c r="K11" s="35" t="str">
        <f>IF(OR(Tracker!$A11="",Tracker!U11="",Tracker!$I11="",Tracker!$J11=""),"",IF(Tracker!$H11="Higher",IF(Tracker!U11&gt;=Tracker!$I11,"G",IF(Tracker!U11&gt;=Tracker!$J11,"A","R")),IF(Tracker!U11&lt;=Tracker!$I11,"G",IF(Tracker!U11&lt;=Tracker!$J11,"A","R"))))</f>
        <v/>
      </c>
      <c r="L11" s="35" t="str">
        <f>IF(OR(Tracker!$A11="",Tracker!V11="",Tracker!$I11="",Tracker!$J11=""),"",IF(Tracker!$H11="Higher",IF(Tracker!V11&gt;=Tracker!$I11,"G",IF(Tracker!V11&gt;=Tracker!$J11,"A","R")),IF(Tracker!V11&lt;=Tracker!$I11,"G",IF(Tracker!V11&lt;=Tracker!$J11,"A","R"))))</f>
        <v/>
      </c>
      <c r="M11" s="35" t="str">
        <f>IF(OR(Tracker!$A11="",Tracker!W11="",Tracker!$I11="",Tracker!$J11=""),"",IF(Tracker!$H11="Higher",IF(Tracker!W11&gt;=Tracker!$I11,"G",IF(Tracker!W11&gt;=Tracker!$J11,"A","R")),IF(Tracker!W11&lt;=Tracker!$I11,"G",IF(Tracker!W11&lt;=Tracker!$J11,"A","R"))))</f>
        <v/>
      </c>
    </row>
    <row r="12" spans="1:13" x14ac:dyDescent="0.45">
      <c r="A12" s="15" t="str">
        <f>Tracker!A12</f>
        <v>K06</v>
      </c>
      <c r="B12" s="35" t="str">
        <f>IF(OR(Tracker!$A12="",Tracker!L12="",Tracker!$I12="",Tracker!$J12=""),"",IF(Tracker!$H12="Higher",IF(Tracker!L12&gt;=Tracker!$I12,"G",IF(Tracker!L12&gt;=Tracker!$J12,"A","R")),IF(Tracker!L12&lt;=Tracker!$I12,"G",IF(Tracker!L12&lt;=Tracker!$J12,"A","R"))))</f>
        <v>R</v>
      </c>
      <c r="C12" s="35" t="str">
        <f>IF(OR(Tracker!$A12="",Tracker!M12="",Tracker!$I12="",Tracker!$J12=""),"",IF(Tracker!$H12="Higher",IF(Tracker!M12&gt;=Tracker!$I12,"G",IF(Tracker!M12&gt;=Tracker!$J12,"A","R")),IF(Tracker!M12&lt;=Tracker!$I12,"G",IF(Tracker!M12&lt;=Tracker!$J12,"A","R"))))</f>
        <v>R</v>
      </c>
      <c r="D12" s="35" t="str">
        <f>IF(OR(Tracker!$A12="",Tracker!N12="",Tracker!$I12="",Tracker!$J12=""),"",IF(Tracker!$H12="Higher",IF(Tracker!N12&gt;=Tracker!$I12,"G",IF(Tracker!N12&gt;=Tracker!$J12,"A","R")),IF(Tracker!N12&lt;=Tracker!$I12,"G",IF(Tracker!N12&lt;=Tracker!$J12,"A","R"))))</f>
        <v>A</v>
      </c>
      <c r="E12" s="35" t="str">
        <f>IF(OR(Tracker!$A12="",Tracker!O12="",Tracker!$I12="",Tracker!$J12=""),"",IF(Tracker!$H12="Higher",IF(Tracker!O12&gt;=Tracker!$I12,"G",IF(Tracker!O12&gt;=Tracker!$J12,"A","R")),IF(Tracker!O12&lt;=Tracker!$I12,"G",IF(Tracker!O12&lt;=Tracker!$J12,"A","R"))))</f>
        <v>A</v>
      </c>
      <c r="F12" s="35" t="str">
        <f>IF(OR(Tracker!$A12="",Tracker!P12="",Tracker!$I12="",Tracker!$J12=""),"",IF(Tracker!$H12="Higher",IF(Tracker!P12&gt;=Tracker!$I12,"G",IF(Tracker!P12&gt;=Tracker!$J12,"A","R")),IF(Tracker!P12&lt;=Tracker!$I12,"G",IF(Tracker!P12&lt;=Tracker!$J12,"A","R"))))</f>
        <v>A</v>
      </c>
      <c r="G12" s="35" t="str">
        <f>IF(OR(Tracker!$A12="",Tracker!Q12="",Tracker!$I12="",Tracker!$J12=""),"",IF(Tracker!$H12="Higher",IF(Tracker!Q12&gt;=Tracker!$I12,"G",IF(Tracker!Q12&gt;=Tracker!$J12,"A","R")),IF(Tracker!Q12&lt;=Tracker!$I12,"G",IF(Tracker!Q12&lt;=Tracker!$J12,"A","R"))))</f>
        <v>A</v>
      </c>
      <c r="H12" s="35" t="str">
        <f>IF(OR(Tracker!$A12="",Tracker!R12="",Tracker!$I12="",Tracker!$J12=""),"",IF(Tracker!$H12="Higher",IF(Tracker!R12&gt;=Tracker!$I12,"G",IF(Tracker!R12&gt;=Tracker!$J12,"A","R")),IF(Tracker!R12&lt;=Tracker!$I12,"G",IF(Tracker!R12&lt;=Tracker!$J12,"A","R"))))</f>
        <v>A</v>
      </c>
      <c r="I12" s="35" t="str">
        <f>IF(OR(Tracker!$A12="",Tracker!S12="",Tracker!$I12="",Tracker!$J12=""),"",IF(Tracker!$H12="Higher",IF(Tracker!S12&gt;=Tracker!$I12,"G",IF(Tracker!S12&gt;=Tracker!$J12,"A","R")),IF(Tracker!S12&lt;=Tracker!$I12,"G",IF(Tracker!S12&lt;=Tracker!$J12,"A","R"))))</f>
        <v>G</v>
      </c>
      <c r="J12" s="35" t="str">
        <f>IF(OR(Tracker!$A12="",Tracker!T12="",Tracker!$I12="",Tracker!$J12=""),"",IF(Tracker!$H12="Higher",IF(Tracker!T12&gt;=Tracker!$I12,"G",IF(Tracker!T12&gt;=Tracker!$J12,"A","R")),IF(Tracker!T12&lt;=Tracker!$I12,"G",IF(Tracker!T12&lt;=Tracker!$J12,"A","R"))))</f>
        <v>G</v>
      </c>
      <c r="K12" s="35" t="str">
        <f>IF(OR(Tracker!$A12="",Tracker!U12="",Tracker!$I12="",Tracker!$J12=""),"",IF(Tracker!$H12="Higher",IF(Tracker!U12&gt;=Tracker!$I12,"G",IF(Tracker!U12&gt;=Tracker!$J12,"A","R")),IF(Tracker!U12&lt;=Tracker!$I12,"G",IF(Tracker!U12&lt;=Tracker!$J12,"A","R"))))</f>
        <v/>
      </c>
      <c r="L12" s="35" t="str">
        <f>IF(OR(Tracker!$A12="",Tracker!V12="",Tracker!$I12="",Tracker!$J12=""),"",IF(Tracker!$H12="Higher",IF(Tracker!V12&gt;=Tracker!$I12,"G",IF(Tracker!V12&gt;=Tracker!$J12,"A","R")),IF(Tracker!V12&lt;=Tracker!$I12,"G",IF(Tracker!V12&lt;=Tracker!$J12,"A","R"))))</f>
        <v/>
      </c>
      <c r="M12" s="35" t="str">
        <f>IF(OR(Tracker!$A12="",Tracker!W12="",Tracker!$I12="",Tracker!$J12=""),"",IF(Tracker!$H12="Higher",IF(Tracker!W12&gt;=Tracker!$I12,"G",IF(Tracker!W12&gt;=Tracker!$J12,"A","R")),IF(Tracker!W12&lt;=Tracker!$I12,"G",IF(Tracker!W12&lt;=Tracker!$J12,"A","R"))))</f>
        <v/>
      </c>
    </row>
    <row r="13" spans="1:13" x14ac:dyDescent="0.45">
      <c r="A13" s="15" t="str">
        <f>Tracker!A13</f>
        <v>K07</v>
      </c>
      <c r="B13" s="35" t="str">
        <f>IF(OR(Tracker!$A13="",Tracker!L13="",Tracker!$I13="",Tracker!$J13=""),"",IF(Tracker!$H13="Higher",IF(Tracker!L13&gt;=Tracker!$I13,"G",IF(Tracker!L13&gt;=Tracker!$J13,"A","R")),IF(Tracker!L13&lt;=Tracker!$I13,"G",IF(Tracker!L13&lt;=Tracker!$J13,"A","R"))))</f>
        <v>R</v>
      </c>
      <c r="C13" s="35" t="str">
        <f>IF(OR(Tracker!$A13="",Tracker!M13="",Tracker!$I13="",Tracker!$J13=""),"",IF(Tracker!$H13="Higher",IF(Tracker!M13&gt;=Tracker!$I13,"G",IF(Tracker!M13&gt;=Tracker!$J13,"A","R")),IF(Tracker!M13&lt;=Tracker!$I13,"G",IF(Tracker!M13&lt;=Tracker!$J13,"A","R"))))</f>
        <v>R</v>
      </c>
      <c r="D13" s="35" t="str">
        <f>IF(OR(Tracker!$A13="",Tracker!N13="",Tracker!$I13="",Tracker!$J13=""),"",IF(Tracker!$H13="Higher",IF(Tracker!N13&gt;=Tracker!$I13,"G",IF(Tracker!N13&gt;=Tracker!$J13,"A","R")),IF(Tracker!N13&lt;=Tracker!$I13,"G",IF(Tracker!N13&lt;=Tracker!$J13,"A","R"))))</f>
        <v>R</v>
      </c>
      <c r="E13" s="35" t="str">
        <f>IF(OR(Tracker!$A13="",Tracker!O13="",Tracker!$I13="",Tracker!$J13=""),"",IF(Tracker!$H13="Higher",IF(Tracker!O13&gt;=Tracker!$I13,"G",IF(Tracker!O13&gt;=Tracker!$J13,"A","R")),IF(Tracker!O13&lt;=Tracker!$I13,"G",IF(Tracker!O13&lt;=Tracker!$J13,"A","R"))))</f>
        <v>A</v>
      </c>
      <c r="F13" s="35" t="str">
        <f>IF(OR(Tracker!$A13="",Tracker!P13="",Tracker!$I13="",Tracker!$J13=""),"",IF(Tracker!$H13="Higher",IF(Tracker!P13&gt;=Tracker!$I13,"G",IF(Tracker!P13&gt;=Tracker!$J13,"A","R")),IF(Tracker!P13&lt;=Tracker!$I13,"G",IF(Tracker!P13&lt;=Tracker!$J13,"A","R"))))</f>
        <v>A</v>
      </c>
      <c r="G13" s="35" t="str">
        <f>IF(OR(Tracker!$A13="",Tracker!Q13="",Tracker!$I13="",Tracker!$J13=""),"",IF(Tracker!$H13="Higher",IF(Tracker!Q13&gt;=Tracker!$I13,"G",IF(Tracker!Q13&gt;=Tracker!$J13,"A","R")),IF(Tracker!Q13&lt;=Tracker!$I13,"G",IF(Tracker!Q13&lt;=Tracker!$J13,"A","R"))))</f>
        <v>A</v>
      </c>
      <c r="H13" s="35" t="str">
        <f>IF(OR(Tracker!$A13="",Tracker!R13="",Tracker!$I13="",Tracker!$J13=""),"",IF(Tracker!$H13="Higher",IF(Tracker!R13&gt;=Tracker!$I13,"G",IF(Tracker!R13&gt;=Tracker!$J13,"A","R")),IF(Tracker!R13&lt;=Tracker!$I13,"G",IF(Tracker!R13&lt;=Tracker!$J13,"A","R"))))</f>
        <v>A</v>
      </c>
      <c r="I13" s="35" t="str">
        <f>IF(OR(Tracker!$A13="",Tracker!S13="",Tracker!$I13="",Tracker!$J13=""),"",IF(Tracker!$H13="Higher",IF(Tracker!S13&gt;=Tracker!$I13,"G",IF(Tracker!S13&gt;=Tracker!$J13,"A","R")),IF(Tracker!S13&lt;=Tracker!$I13,"G",IF(Tracker!S13&lt;=Tracker!$J13,"A","R"))))</f>
        <v>A</v>
      </c>
      <c r="J13" s="35" t="str">
        <f>IF(OR(Tracker!$A13="",Tracker!T13="",Tracker!$I13="",Tracker!$J13=""),"",IF(Tracker!$H13="Higher",IF(Tracker!T13&gt;=Tracker!$I13,"G",IF(Tracker!T13&gt;=Tracker!$J13,"A","R")),IF(Tracker!T13&lt;=Tracker!$I13,"G",IF(Tracker!T13&lt;=Tracker!$J13,"A","R"))))</f>
        <v>A</v>
      </c>
      <c r="K13" s="35" t="str">
        <f>IF(OR(Tracker!$A13="",Tracker!U13="",Tracker!$I13="",Tracker!$J13=""),"",IF(Tracker!$H13="Higher",IF(Tracker!U13&gt;=Tracker!$I13,"G",IF(Tracker!U13&gt;=Tracker!$J13,"A","R")),IF(Tracker!U13&lt;=Tracker!$I13,"G",IF(Tracker!U13&lt;=Tracker!$J13,"A","R"))))</f>
        <v/>
      </c>
      <c r="L13" s="35" t="str">
        <f>IF(OR(Tracker!$A13="",Tracker!V13="",Tracker!$I13="",Tracker!$J13=""),"",IF(Tracker!$H13="Higher",IF(Tracker!V13&gt;=Tracker!$I13,"G",IF(Tracker!V13&gt;=Tracker!$J13,"A","R")),IF(Tracker!V13&lt;=Tracker!$I13,"G",IF(Tracker!V13&lt;=Tracker!$J13,"A","R"))))</f>
        <v/>
      </c>
      <c r="M13" s="35" t="str">
        <f>IF(OR(Tracker!$A13="",Tracker!W13="",Tracker!$I13="",Tracker!$J13=""),"",IF(Tracker!$H13="Higher",IF(Tracker!W13&gt;=Tracker!$I13,"G",IF(Tracker!W13&gt;=Tracker!$J13,"A","R")),IF(Tracker!W13&lt;=Tracker!$I13,"G",IF(Tracker!W13&lt;=Tracker!$J13,"A","R"))))</f>
        <v/>
      </c>
    </row>
    <row r="14" spans="1:13" x14ac:dyDescent="0.45">
      <c r="A14" s="15" t="str">
        <f>Tracker!A14</f>
        <v>K08</v>
      </c>
      <c r="B14" s="35" t="str">
        <f>IF(OR(Tracker!$A14="",Tracker!L14="",Tracker!$I14="",Tracker!$J14=""),"",IF(Tracker!$H14="Higher",IF(Tracker!L14&gt;=Tracker!$I14,"G",IF(Tracker!L14&gt;=Tracker!$J14,"A","R")),IF(Tracker!L14&lt;=Tracker!$I14,"G",IF(Tracker!L14&lt;=Tracker!$J14,"A","R"))))</f>
        <v>R</v>
      </c>
      <c r="C14" s="35" t="str">
        <f>IF(OR(Tracker!$A14="",Tracker!M14="",Tracker!$I14="",Tracker!$J14=""),"",IF(Tracker!$H14="Higher",IF(Tracker!M14&gt;=Tracker!$I14,"G",IF(Tracker!M14&gt;=Tracker!$J14,"A","R")),IF(Tracker!M14&lt;=Tracker!$I14,"G",IF(Tracker!M14&lt;=Tracker!$J14,"A","R"))))</f>
        <v>A</v>
      </c>
      <c r="D14" s="35" t="str">
        <f>IF(OR(Tracker!$A14="",Tracker!N14="",Tracker!$I14="",Tracker!$J14=""),"",IF(Tracker!$H14="Higher",IF(Tracker!N14&gt;=Tracker!$I14,"G",IF(Tracker!N14&gt;=Tracker!$J14,"A","R")),IF(Tracker!N14&lt;=Tracker!$I14,"G",IF(Tracker!N14&lt;=Tracker!$J14,"A","R"))))</f>
        <v>A</v>
      </c>
      <c r="E14" s="35" t="str">
        <f>IF(OR(Tracker!$A14="",Tracker!O14="",Tracker!$I14="",Tracker!$J14=""),"",IF(Tracker!$H14="Higher",IF(Tracker!O14&gt;=Tracker!$I14,"G",IF(Tracker!O14&gt;=Tracker!$J14,"A","R")),IF(Tracker!O14&lt;=Tracker!$I14,"G",IF(Tracker!O14&lt;=Tracker!$J14,"A","R"))))</f>
        <v>G</v>
      </c>
      <c r="F14" s="35" t="str">
        <f>IF(OR(Tracker!$A14="",Tracker!P14="",Tracker!$I14="",Tracker!$J14=""),"",IF(Tracker!$H14="Higher",IF(Tracker!P14&gt;=Tracker!$I14,"G",IF(Tracker!P14&gt;=Tracker!$J14,"A","R")),IF(Tracker!P14&lt;=Tracker!$I14,"G",IF(Tracker!P14&lt;=Tracker!$J14,"A","R"))))</f>
        <v>G</v>
      </c>
      <c r="G14" s="35" t="str">
        <f>IF(OR(Tracker!$A14="",Tracker!Q14="",Tracker!$I14="",Tracker!$J14=""),"",IF(Tracker!$H14="Higher",IF(Tracker!Q14&gt;=Tracker!$I14,"G",IF(Tracker!Q14&gt;=Tracker!$J14,"A","R")),IF(Tracker!Q14&lt;=Tracker!$I14,"G",IF(Tracker!Q14&lt;=Tracker!$J14,"A","R"))))</f>
        <v>G</v>
      </c>
      <c r="H14" s="35" t="str">
        <f>IF(OR(Tracker!$A14="",Tracker!R14="",Tracker!$I14="",Tracker!$J14=""),"",IF(Tracker!$H14="Higher",IF(Tracker!R14&gt;=Tracker!$I14,"G",IF(Tracker!R14&gt;=Tracker!$J14,"A","R")),IF(Tracker!R14&lt;=Tracker!$I14,"G",IF(Tracker!R14&lt;=Tracker!$J14,"A","R"))))</f>
        <v>G</v>
      </c>
      <c r="I14" s="35" t="str">
        <f>IF(OR(Tracker!$A14="",Tracker!S14="",Tracker!$I14="",Tracker!$J14=""),"",IF(Tracker!$H14="Higher",IF(Tracker!S14&gt;=Tracker!$I14,"G",IF(Tracker!S14&gt;=Tracker!$J14,"A","R")),IF(Tracker!S14&lt;=Tracker!$I14,"G",IF(Tracker!S14&lt;=Tracker!$J14,"A","R"))))</f>
        <v>G</v>
      </c>
      <c r="J14" s="35" t="str">
        <f>IF(OR(Tracker!$A14="",Tracker!T14="",Tracker!$I14="",Tracker!$J14=""),"",IF(Tracker!$H14="Higher",IF(Tracker!T14&gt;=Tracker!$I14,"G",IF(Tracker!T14&gt;=Tracker!$J14,"A","R")),IF(Tracker!T14&lt;=Tracker!$I14,"G",IF(Tracker!T14&lt;=Tracker!$J14,"A","R"))))</f>
        <v>G</v>
      </c>
      <c r="K14" s="35" t="str">
        <f>IF(OR(Tracker!$A14="",Tracker!U14="",Tracker!$I14="",Tracker!$J14=""),"",IF(Tracker!$H14="Higher",IF(Tracker!U14&gt;=Tracker!$I14,"G",IF(Tracker!U14&gt;=Tracker!$J14,"A","R")),IF(Tracker!U14&lt;=Tracker!$I14,"G",IF(Tracker!U14&lt;=Tracker!$J14,"A","R"))))</f>
        <v/>
      </c>
      <c r="L14" s="35" t="str">
        <f>IF(OR(Tracker!$A14="",Tracker!V14="",Tracker!$I14="",Tracker!$J14=""),"",IF(Tracker!$H14="Higher",IF(Tracker!V14&gt;=Tracker!$I14,"G",IF(Tracker!V14&gt;=Tracker!$J14,"A","R")),IF(Tracker!V14&lt;=Tracker!$I14,"G",IF(Tracker!V14&lt;=Tracker!$J14,"A","R"))))</f>
        <v/>
      </c>
      <c r="M14" s="35" t="str">
        <f>IF(OR(Tracker!$A14="",Tracker!W14="",Tracker!$I14="",Tracker!$J14=""),"",IF(Tracker!$H14="Higher",IF(Tracker!W14&gt;=Tracker!$I14,"G",IF(Tracker!W14&gt;=Tracker!$J14,"A","R")),IF(Tracker!W14&lt;=Tracker!$I14,"G",IF(Tracker!W14&lt;=Tracker!$J14,"A","R"))))</f>
        <v/>
      </c>
    </row>
    <row r="15" spans="1:13" x14ac:dyDescent="0.45">
      <c r="A15" s="15" t="str">
        <f>Tracker!A15</f>
        <v>K09</v>
      </c>
      <c r="B15" s="35" t="str">
        <f>IF(OR(Tracker!$A15="",Tracker!L15="",Tracker!$I15="",Tracker!$J15=""),"",IF(Tracker!$H15="Higher",IF(Tracker!L15&gt;=Tracker!$I15,"G",IF(Tracker!L15&gt;=Tracker!$J15,"A","R")),IF(Tracker!L15&lt;=Tracker!$I15,"G",IF(Tracker!L15&lt;=Tracker!$J15,"A","R"))))</f>
        <v>R</v>
      </c>
      <c r="C15" s="35" t="str">
        <f>IF(OR(Tracker!$A15="",Tracker!M15="",Tracker!$I15="",Tracker!$J15=""),"",IF(Tracker!$H15="Higher",IF(Tracker!M15&gt;=Tracker!$I15,"G",IF(Tracker!M15&gt;=Tracker!$J15,"A","R")),IF(Tracker!M15&lt;=Tracker!$I15,"G",IF(Tracker!M15&lt;=Tracker!$J15,"A","R"))))</f>
        <v>R</v>
      </c>
      <c r="D15" s="35" t="str">
        <f>IF(OR(Tracker!$A15="",Tracker!N15="",Tracker!$I15="",Tracker!$J15=""),"",IF(Tracker!$H15="Higher",IF(Tracker!N15&gt;=Tracker!$I15,"G",IF(Tracker!N15&gt;=Tracker!$J15,"A","R")),IF(Tracker!N15&lt;=Tracker!$I15,"G",IF(Tracker!N15&lt;=Tracker!$J15,"A","R"))))</f>
        <v>R</v>
      </c>
      <c r="E15" s="35" t="str">
        <f>IF(OR(Tracker!$A15="",Tracker!O15="",Tracker!$I15="",Tracker!$J15=""),"",IF(Tracker!$H15="Higher",IF(Tracker!O15&gt;=Tracker!$I15,"G",IF(Tracker!O15&gt;=Tracker!$J15,"A","R")),IF(Tracker!O15&lt;=Tracker!$I15,"G",IF(Tracker!O15&lt;=Tracker!$J15,"A","R"))))</f>
        <v>R</v>
      </c>
      <c r="F15" s="35" t="str">
        <f>IF(OR(Tracker!$A15="",Tracker!P15="",Tracker!$I15="",Tracker!$J15=""),"",IF(Tracker!$H15="Higher",IF(Tracker!P15&gt;=Tracker!$I15,"G",IF(Tracker!P15&gt;=Tracker!$J15,"A","R")),IF(Tracker!P15&lt;=Tracker!$I15,"G",IF(Tracker!P15&lt;=Tracker!$J15,"A","R"))))</f>
        <v>A</v>
      </c>
      <c r="G15" s="35" t="str">
        <f>IF(OR(Tracker!$A15="",Tracker!Q15="",Tracker!$I15="",Tracker!$J15=""),"",IF(Tracker!$H15="Higher",IF(Tracker!Q15&gt;=Tracker!$I15,"G",IF(Tracker!Q15&gt;=Tracker!$J15,"A","R")),IF(Tracker!Q15&lt;=Tracker!$I15,"G",IF(Tracker!Q15&lt;=Tracker!$J15,"A","R"))))</f>
        <v>A</v>
      </c>
      <c r="H15" s="35" t="str">
        <f>IF(OR(Tracker!$A15="",Tracker!R15="",Tracker!$I15="",Tracker!$J15=""),"",IF(Tracker!$H15="Higher",IF(Tracker!R15&gt;=Tracker!$I15,"G",IF(Tracker!R15&gt;=Tracker!$J15,"A","R")),IF(Tracker!R15&lt;=Tracker!$I15,"G",IF(Tracker!R15&lt;=Tracker!$J15,"A","R"))))</f>
        <v>A</v>
      </c>
      <c r="I15" s="35" t="str">
        <f>IF(OR(Tracker!$A15="",Tracker!S15="",Tracker!$I15="",Tracker!$J15=""),"",IF(Tracker!$H15="Higher",IF(Tracker!S15&gt;=Tracker!$I15,"G",IF(Tracker!S15&gt;=Tracker!$J15,"A","R")),IF(Tracker!S15&lt;=Tracker!$I15,"G",IF(Tracker!S15&lt;=Tracker!$J15,"A","R"))))</f>
        <v>A</v>
      </c>
      <c r="J15" s="35" t="str">
        <f>IF(OR(Tracker!$A15="",Tracker!T15="",Tracker!$I15="",Tracker!$J15=""),"",IF(Tracker!$H15="Higher",IF(Tracker!T15&gt;=Tracker!$I15,"G",IF(Tracker!T15&gt;=Tracker!$J15,"A","R")),IF(Tracker!T15&lt;=Tracker!$I15,"G",IF(Tracker!T15&lt;=Tracker!$J15,"A","R"))))</f>
        <v>A</v>
      </c>
      <c r="K15" s="35" t="str">
        <f>IF(OR(Tracker!$A15="",Tracker!U15="",Tracker!$I15="",Tracker!$J15=""),"",IF(Tracker!$H15="Higher",IF(Tracker!U15&gt;=Tracker!$I15,"G",IF(Tracker!U15&gt;=Tracker!$J15,"A","R")),IF(Tracker!U15&lt;=Tracker!$I15,"G",IF(Tracker!U15&lt;=Tracker!$J15,"A","R"))))</f>
        <v/>
      </c>
      <c r="L15" s="35" t="str">
        <f>IF(OR(Tracker!$A15="",Tracker!V15="",Tracker!$I15="",Tracker!$J15=""),"",IF(Tracker!$H15="Higher",IF(Tracker!V15&gt;=Tracker!$I15,"G",IF(Tracker!V15&gt;=Tracker!$J15,"A","R")),IF(Tracker!V15&lt;=Tracker!$I15,"G",IF(Tracker!V15&lt;=Tracker!$J15,"A","R"))))</f>
        <v/>
      </c>
      <c r="M15" s="35" t="str">
        <f>IF(OR(Tracker!$A15="",Tracker!W15="",Tracker!$I15="",Tracker!$J15=""),"",IF(Tracker!$H15="Higher",IF(Tracker!W15&gt;=Tracker!$I15,"G",IF(Tracker!W15&gt;=Tracker!$J15,"A","R")),IF(Tracker!W15&lt;=Tracker!$I15,"G",IF(Tracker!W15&lt;=Tracker!$J15,"A","R"))))</f>
        <v/>
      </c>
    </row>
    <row r="16" spans="1:13" x14ac:dyDescent="0.45">
      <c r="A16" s="15" t="str">
        <f>Tracker!A16</f>
        <v>R03</v>
      </c>
      <c r="B16" s="35" t="str">
        <f>IF(OR(Tracker!$A16="",Tracker!L16="",Tracker!$I16="",Tracker!$J16=""),"",IF(Tracker!$H16="Higher",IF(Tracker!L16&gt;=Tracker!$I16,"G",IF(Tracker!L16&gt;=Tracker!$J16,"A","R")),IF(Tracker!L16&lt;=Tracker!$I16,"G",IF(Tracker!L16&lt;=Tracker!$J16,"A","R"))))</f>
        <v>A</v>
      </c>
      <c r="C16" s="35" t="str">
        <f>IF(OR(Tracker!$A16="",Tracker!M16="",Tracker!$I16="",Tracker!$J16=""),"",IF(Tracker!$H16="Higher",IF(Tracker!M16&gt;=Tracker!$I16,"G",IF(Tracker!M16&gt;=Tracker!$J16,"A","R")),IF(Tracker!M16&lt;=Tracker!$I16,"G",IF(Tracker!M16&lt;=Tracker!$J16,"A","R"))))</f>
        <v>A</v>
      </c>
      <c r="D16" s="35" t="str">
        <f>IF(OR(Tracker!$A16="",Tracker!N16="",Tracker!$I16="",Tracker!$J16=""),"",IF(Tracker!$H16="Higher",IF(Tracker!N16&gt;=Tracker!$I16,"G",IF(Tracker!N16&gt;=Tracker!$J16,"A","R")),IF(Tracker!N16&lt;=Tracker!$I16,"G",IF(Tracker!N16&lt;=Tracker!$J16,"A","R"))))</f>
        <v>A</v>
      </c>
      <c r="E16" s="35" t="str">
        <f>IF(OR(Tracker!$A16="",Tracker!O16="",Tracker!$I16="",Tracker!$J16=""),"",IF(Tracker!$H16="Higher",IF(Tracker!O16&gt;=Tracker!$I16,"G",IF(Tracker!O16&gt;=Tracker!$J16,"A","R")),IF(Tracker!O16&lt;=Tracker!$I16,"G",IF(Tracker!O16&lt;=Tracker!$J16,"A","R"))))</f>
        <v>A</v>
      </c>
      <c r="F16" s="35" t="str">
        <f>IF(OR(Tracker!$A16="",Tracker!P16="",Tracker!$I16="",Tracker!$J16=""),"",IF(Tracker!$H16="Higher",IF(Tracker!P16&gt;=Tracker!$I16,"G",IF(Tracker!P16&gt;=Tracker!$J16,"A","R")),IF(Tracker!P16&lt;=Tracker!$I16,"G",IF(Tracker!P16&lt;=Tracker!$J16,"A","R"))))</f>
        <v>A</v>
      </c>
      <c r="G16" s="35" t="str">
        <f>IF(OR(Tracker!$A16="",Tracker!Q16="",Tracker!$I16="",Tracker!$J16=""),"",IF(Tracker!$H16="Higher",IF(Tracker!Q16&gt;=Tracker!$I16,"G",IF(Tracker!Q16&gt;=Tracker!$J16,"A","R")),IF(Tracker!Q16&lt;=Tracker!$I16,"G",IF(Tracker!Q16&lt;=Tracker!$J16,"A","R"))))</f>
        <v>A</v>
      </c>
      <c r="H16" s="35" t="str">
        <f>IF(OR(Tracker!$A16="",Tracker!R16="",Tracker!$I16="",Tracker!$J16=""),"",IF(Tracker!$H16="Higher",IF(Tracker!R16&gt;=Tracker!$I16,"G",IF(Tracker!R16&gt;=Tracker!$J16,"A","R")),IF(Tracker!R16&lt;=Tracker!$I16,"G",IF(Tracker!R16&lt;=Tracker!$J16,"A","R"))))</f>
        <v>A</v>
      </c>
      <c r="I16" s="35" t="str">
        <f>IF(OR(Tracker!$A16="",Tracker!S16="",Tracker!$I16="",Tracker!$J16=""),"",IF(Tracker!$H16="Higher",IF(Tracker!S16&gt;=Tracker!$I16,"G",IF(Tracker!S16&gt;=Tracker!$J16,"A","R")),IF(Tracker!S16&lt;=Tracker!$I16,"G",IF(Tracker!S16&lt;=Tracker!$J16,"A","R"))))</f>
        <v>G</v>
      </c>
      <c r="J16" s="35" t="str">
        <f>IF(OR(Tracker!$A16="",Tracker!T16="",Tracker!$I16="",Tracker!$J16=""),"",IF(Tracker!$H16="Higher",IF(Tracker!T16&gt;=Tracker!$I16,"G",IF(Tracker!T16&gt;=Tracker!$J16,"A","R")),IF(Tracker!T16&lt;=Tracker!$I16,"G",IF(Tracker!T16&lt;=Tracker!$J16,"A","R"))))</f>
        <v>G</v>
      </c>
      <c r="K16" s="35" t="str">
        <f>IF(OR(Tracker!$A16="",Tracker!U16="",Tracker!$I16="",Tracker!$J16=""),"",IF(Tracker!$H16="Higher",IF(Tracker!U16&gt;=Tracker!$I16,"G",IF(Tracker!U16&gt;=Tracker!$J16,"A","R")),IF(Tracker!U16&lt;=Tracker!$I16,"G",IF(Tracker!U16&lt;=Tracker!$J16,"A","R"))))</f>
        <v/>
      </c>
      <c r="L16" s="35" t="str">
        <f>IF(OR(Tracker!$A16="",Tracker!V16="",Tracker!$I16="",Tracker!$J16=""),"",IF(Tracker!$H16="Higher",IF(Tracker!V16&gt;=Tracker!$I16,"G",IF(Tracker!V16&gt;=Tracker!$J16,"A","R")),IF(Tracker!V16&lt;=Tracker!$I16,"G",IF(Tracker!V16&lt;=Tracker!$J16,"A","R"))))</f>
        <v/>
      </c>
      <c r="M16" s="35" t="str">
        <f>IF(OR(Tracker!$A16="",Tracker!W16="",Tracker!$I16="",Tracker!$J16=""),"",IF(Tracker!$H16="Higher",IF(Tracker!W16&gt;=Tracker!$I16,"G",IF(Tracker!W16&gt;=Tracker!$J16,"A","R")),IF(Tracker!W16&lt;=Tracker!$I16,"G",IF(Tracker!W16&lt;=Tracker!$J16,"A","R"))))</f>
        <v/>
      </c>
    </row>
    <row r="17" spans="1:13" x14ac:dyDescent="0.45">
      <c r="A17" s="15" t="str">
        <f>Tracker!A17</f>
        <v>R04</v>
      </c>
      <c r="B17" s="35" t="str">
        <f>IF(OR(Tracker!$A17="",Tracker!L17="",Tracker!$I17="",Tracker!$J17=""),"",IF(Tracker!$H17="Higher",IF(Tracker!L17&gt;=Tracker!$I17,"G",IF(Tracker!L17&gt;=Tracker!$J17,"A","R")),IF(Tracker!L17&lt;=Tracker!$I17,"G",IF(Tracker!L17&lt;=Tracker!$J17,"A","R"))))</f>
        <v>A</v>
      </c>
      <c r="C17" s="35" t="str">
        <f>IF(OR(Tracker!$A17="",Tracker!M17="",Tracker!$I17="",Tracker!$J17=""),"",IF(Tracker!$H17="Higher",IF(Tracker!M17&gt;=Tracker!$I17,"G",IF(Tracker!M17&gt;=Tracker!$J17,"A","R")),IF(Tracker!M17&lt;=Tracker!$I17,"G",IF(Tracker!M17&lt;=Tracker!$J17,"A","R"))))</f>
        <v>A</v>
      </c>
      <c r="D17" s="35" t="str">
        <f>IF(OR(Tracker!$A17="",Tracker!N17="",Tracker!$I17="",Tracker!$J17=""),"",IF(Tracker!$H17="Higher",IF(Tracker!N17&gt;=Tracker!$I17,"G",IF(Tracker!N17&gt;=Tracker!$J17,"A","R")),IF(Tracker!N17&lt;=Tracker!$I17,"G",IF(Tracker!N17&lt;=Tracker!$J17,"A","R"))))</f>
        <v>A</v>
      </c>
      <c r="E17" s="35" t="str">
        <f>IF(OR(Tracker!$A17="",Tracker!O17="",Tracker!$I17="",Tracker!$J17=""),"",IF(Tracker!$H17="Higher",IF(Tracker!O17&gt;=Tracker!$I17,"G",IF(Tracker!O17&gt;=Tracker!$J17,"A","R")),IF(Tracker!O17&lt;=Tracker!$I17,"G",IF(Tracker!O17&lt;=Tracker!$J17,"A","R"))))</f>
        <v>A</v>
      </c>
      <c r="F17" s="35" t="str">
        <f>IF(OR(Tracker!$A17="",Tracker!P17="",Tracker!$I17="",Tracker!$J17=""),"",IF(Tracker!$H17="Higher",IF(Tracker!P17&gt;=Tracker!$I17,"G",IF(Tracker!P17&gt;=Tracker!$J17,"A","R")),IF(Tracker!P17&lt;=Tracker!$I17,"G",IF(Tracker!P17&lt;=Tracker!$J17,"A","R"))))</f>
        <v>A</v>
      </c>
      <c r="G17" s="35" t="str">
        <f>IF(OR(Tracker!$A17="",Tracker!Q17="",Tracker!$I17="",Tracker!$J17=""),"",IF(Tracker!$H17="Higher",IF(Tracker!Q17&gt;=Tracker!$I17,"G",IF(Tracker!Q17&gt;=Tracker!$J17,"A","R")),IF(Tracker!Q17&lt;=Tracker!$I17,"G",IF(Tracker!Q17&lt;=Tracker!$J17,"A","R"))))</f>
        <v>A</v>
      </c>
      <c r="H17" s="35" t="str">
        <f>IF(OR(Tracker!$A17="",Tracker!R17="",Tracker!$I17="",Tracker!$J17=""),"",IF(Tracker!$H17="Higher",IF(Tracker!R17&gt;=Tracker!$I17,"G",IF(Tracker!R17&gt;=Tracker!$J17,"A","R")),IF(Tracker!R17&lt;=Tracker!$I17,"G",IF(Tracker!R17&lt;=Tracker!$J17,"A","R"))))</f>
        <v>A</v>
      </c>
      <c r="I17" s="35" t="str">
        <f>IF(OR(Tracker!$A17="",Tracker!S17="",Tracker!$I17="",Tracker!$J17=""),"",IF(Tracker!$H17="Higher",IF(Tracker!S17&gt;=Tracker!$I17,"G",IF(Tracker!S17&gt;=Tracker!$J17,"A","R")),IF(Tracker!S17&lt;=Tracker!$I17,"G",IF(Tracker!S17&lt;=Tracker!$J17,"A","R"))))</f>
        <v>R</v>
      </c>
      <c r="J17" s="35" t="str">
        <f>IF(OR(Tracker!$A17="",Tracker!T17="",Tracker!$I17="",Tracker!$J17=""),"",IF(Tracker!$H17="Higher",IF(Tracker!T17&gt;=Tracker!$I17,"G",IF(Tracker!T17&gt;=Tracker!$J17,"A","R")),IF(Tracker!T17&lt;=Tracker!$I17,"G",IF(Tracker!T17&lt;=Tracker!$J17,"A","R"))))</f>
        <v>R</v>
      </c>
      <c r="K17" s="35" t="str">
        <f>IF(OR(Tracker!$A17="",Tracker!U17="",Tracker!$I17="",Tracker!$J17=""),"",IF(Tracker!$H17="Higher",IF(Tracker!U17&gt;=Tracker!$I17,"G",IF(Tracker!U17&gt;=Tracker!$J17,"A","R")),IF(Tracker!U17&lt;=Tracker!$I17,"G",IF(Tracker!U17&lt;=Tracker!$J17,"A","R"))))</f>
        <v/>
      </c>
      <c r="L17" s="35" t="str">
        <f>IF(OR(Tracker!$A17="",Tracker!V17="",Tracker!$I17="",Tracker!$J17=""),"",IF(Tracker!$H17="Higher",IF(Tracker!V17&gt;=Tracker!$I17,"G",IF(Tracker!V17&gt;=Tracker!$J17,"A","R")),IF(Tracker!V17&lt;=Tracker!$I17,"G",IF(Tracker!V17&lt;=Tracker!$J17,"A","R"))))</f>
        <v/>
      </c>
      <c r="M17" s="35" t="str">
        <f>IF(OR(Tracker!$A17="",Tracker!W17="",Tracker!$I17="",Tracker!$J17=""),"",IF(Tracker!$H17="Higher",IF(Tracker!W17&gt;=Tracker!$I17,"G",IF(Tracker!W17&gt;=Tracker!$J17,"A","R")),IF(Tracker!W17&lt;=Tracker!$I17,"G",IF(Tracker!W17&lt;=Tracker!$J17,"A","R"))))</f>
        <v/>
      </c>
    </row>
    <row r="18" spans="1:13" x14ac:dyDescent="0.45">
      <c r="A18" s="15" t="str">
        <f>Tracker!A18</f>
        <v>K10</v>
      </c>
      <c r="B18" s="35" t="str">
        <f>IF(OR(Tracker!$A18="",Tracker!L18="",Tracker!$I18="",Tracker!$J18=""),"",IF(Tracker!$H18="Higher",IF(Tracker!L18&gt;=Tracker!$I18,"G",IF(Tracker!L18&gt;=Tracker!$J18,"A","R")),IF(Tracker!L18&lt;=Tracker!$I18,"G",IF(Tracker!L18&lt;=Tracker!$J18,"A","R"))))</f>
        <v>R</v>
      </c>
      <c r="C18" s="35" t="str">
        <f>IF(OR(Tracker!$A18="",Tracker!M18="",Tracker!$I18="",Tracker!$J18=""),"",IF(Tracker!$H18="Higher",IF(Tracker!M18&gt;=Tracker!$I18,"G",IF(Tracker!M18&gt;=Tracker!$J18,"A","R")),IF(Tracker!M18&lt;=Tracker!$I18,"G",IF(Tracker!M18&lt;=Tracker!$J18,"A","R"))))</f>
        <v>A</v>
      </c>
      <c r="D18" s="35" t="str">
        <f>IF(OR(Tracker!$A18="",Tracker!N18="",Tracker!$I18="",Tracker!$J18=""),"",IF(Tracker!$H18="Higher",IF(Tracker!N18&gt;=Tracker!$I18,"G",IF(Tracker!N18&gt;=Tracker!$J18,"A","R")),IF(Tracker!N18&lt;=Tracker!$I18,"G",IF(Tracker!N18&lt;=Tracker!$J18,"A","R"))))</f>
        <v>A</v>
      </c>
      <c r="E18" s="35" t="str">
        <f>IF(OR(Tracker!$A18="",Tracker!O18="",Tracker!$I18="",Tracker!$J18=""),"",IF(Tracker!$H18="Higher",IF(Tracker!O18&gt;=Tracker!$I18,"G",IF(Tracker!O18&gt;=Tracker!$J18,"A","R")),IF(Tracker!O18&lt;=Tracker!$I18,"G",IF(Tracker!O18&lt;=Tracker!$J18,"A","R"))))</f>
        <v>A</v>
      </c>
      <c r="F18" s="35" t="str">
        <f>IF(OR(Tracker!$A18="",Tracker!P18="",Tracker!$I18="",Tracker!$J18=""),"",IF(Tracker!$H18="Higher",IF(Tracker!P18&gt;=Tracker!$I18,"G",IF(Tracker!P18&gt;=Tracker!$J18,"A","R")),IF(Tracker!P18&lt;=Tracker!$I18,"G",IF(Tracker!P18&lt;=Tracker!$J18,"A","R"))))</f>
        <v>A</v>
      </c>
      <c r="G18" s="35" t="str">
        <f>IF(OR(Tracker!$A18="",Tracker!Q18="",Tracker!$I18="",Tracker!$J18=""),"",IF(Tracker!$H18="Higher",IF(Tracker!Q18&gt;=Tracker!$I18,"G",IF(Tracker!Q18&gt;=Tracker!$J18,"A","R")),IF(Tracker!Q18&lt;=Tracker!$I18,"G",IF(Tracker!Q18&lt;=Tracker!$J18,"A","R"))))</f>
        <v>G</v>
      </c>
      <c r="H18" s="35" t="str">
        <f>IF(OR(Tracker!$A18="",Tracker!R18="",Tracker!$I18="",Tracker!$J18=""),"",IF(Tracker!$H18="Higher",IF(Tracker!R18&gt;=Tracker!$I18,"G",IF(Tracker!R18&gt;=Tracker!$J18,"A","R")),IF(Tracker!R18&lt;=Tracker!$I18,"G",IF(Tracker!R18&lt;=Tracker!$J18,"A","R"))))</f>
        <v>G</v>
      </c>
      <c r="I18" s="35" t="str">
        <f>IF(OR(Tracker!$A18="",Tracker!S18="",Tracker!$I18="",Tracker!$J18=""),"",IF(Tracker!$H18="Higher",IF(Tracker!S18&gt;=Tracker!$I18,"G",IF(Tracker!S18&gt;=Tracker!$J18,"A","R")),IF(Tracker!S18&lt;=Tracker!$I18,"G",IF(Tracker!S18&lt;=Tracker!$J18,"A","R"))))</f>
        <v>A</v>
      </c>
      <c r="J18" s="35" t="str">
        <f>IF(OR(Tracker!$A18="",Tracker!T18="",Tracker!$I18="",Tracker!$J18=""),"",IF(Tracker!$H18="Higher",IF(Tracker!T18&gt;=Tracker!$I18,"G",IF(Tracker!T18&gt;=Tracker!$J18,"A","R")),IF(Tracker!T18&lt;=Tracker!$I18,"G",IF(Tracker!T18&lt;=Tracker!$J18,"A","R"))))</f>
        <v>G</v>
      </c>
      <c r="K18" s="35" t="str">
        <f>IF(OR(Tracker!$A18="",Tracker!U18="",Tracker!$I18="",Tracker!$J18=""),"",IF(Tracker!$H18="Higher",IF(Tracker!U18&gt;=Tracker!$I18,"G",IF(Tracker!U18&gt;=Tracker!$J18,"A","R")),IF(Tracker!U18&lt;=Tracker!$I18,"G",IF(Tracker!U18&lt;=Tracker!$J18,"A","R"))))</f>
        <v/>
      </c>
      <c r="L18" s="35" t="str">
        <f>IF(OR(Tracker!$A18="",Tracker!V18="",Tracker!$I18="",Tracker!$J18=""),"",IF(Tracker!$H18="Higher",IF(Tracker!V18&gt;=Tracker!$I18,"G",IF(Tracker!V18&gt;=Tracker!$J18,"A","R")),IF(Tracker!V18&lt;=Tracker!$I18,"G",IF(Tracker!V18&lt;=Tracker!$J18,"A","R"))))</f>
        <v/>
      </c>
      <c r="M18" s="35" t="str">
        <f>IF(OR(Tracker!$A18="",Tracker!W18="",Tracker!$I18="",Tracker!$J18=""),"",IF(Tracker!$H18="Higher",IF(Tracker!W18&gt;=Tracker!$I18,"G",IF(Tracker!W18&gt;=Tracker!$J18,"A","R")),IF(Tracker!W18&lt;=Tracker!$I18,"G",IF(Tracker!W18&lt;=Tracker!$J18,"A","R"))))</f>
        <v/>
      </c>
    </row>
    <row r="19" spans="1:13" x14ac:dyDescent="0.45">
      <c r="A19" s="15" t="str">
        <f>Tracker!A19</f>
        <v>K11</v>
      </c>
      <c r="B19" s="35" t="str">
        <f>IF(OR(Tracker!$A19="",Tracker!L19="",Tracker!$I19="",Tracker!$J19=""),"",IF(Tracker!$H19="Higher",IF(Tracker!L19&gt;=Tracker!$I19,"G",IF(Tracker!L19&gt;=Tracker!$J19,"A","R")),IF(Tracker!L19&lt;=Tracker!$I19,"G",IF(Tracker!L19&lt;=Tracker!$J19,"A","R"))))</f>
        <v>R</v>
      </c>
      <c r="C19" s="35" t="str">
        <f>IF(OR(Tracker!$A19="",Tracker!M19="",Tracker!$I19="",Tracker!$J19=""),"",IF(Tracker!$H19="Higher",IF(Tracker!M19&gt;=Tracker!$I19,"G",IF(Tracker!M19&gt;=Tracker!$J19,"A","R")),IF(Tracker!M19&lt;=Tracker!$I19,"G",IF(Tracker!M19&lt;=Tracker!$J19,"A","R"))))</f>
        <v>R</v>
      </c>
      <c r="D19" s="35" t="str">
        <f>IF(OR(Tracker!$A19="",Tracker!N19="",Tracker!$I19="",Tracker!$J19=""),"",IF(Tracker!$H19="Higher",IF(Tracker!N19&gt;=Tracker!$I19,"G",IF(Tracker!N19&gt;=Tracker!$J19,"A","R")),IF(Tracker!N19&lt;=Tracker!$I19,"G",IF(Tracker!N19&lt;=Tracker!$J19,"A","R"))))</f>
        <v>A</v>
      </c>
      <c r="E19" s="35" t="str">
        <f>IF(OR(Tracker!$A19="",Tracker!O19="",Tracker!$I19="",Tracker!$J19=""),"",IF(Tracker!$H19="Higher",IF(Tracker!O19&gt;=Tracker!$I19,"G",IF(Tracker!O19&gt;=Tracker!$J19,"A","R")),IF(Tracker!O19&lt;=Tracker!$I19,"G",IF(Tracker!O19&lt;=Tracker!$J19,"A","R"))))</f>
        <v>A</v>
      </c>
      <c r="F19" s="35" t="str">
        <f>IF(OR(Tracker!$A19="",Tracker!P19="",Tracker!$I19="",Tracker!$J19=""),"",IF(Tracker!$H19="Higher",IF(Tracker!P19&gt;=Tracker!$I19,"G",IF(Tracker!P19&gt;=Tracker!$J19,"A","R")),IF(Tracker!P19&lt;=Tracker!$I19,"G",IF(Tracker!P19&lt;=Tracker!$J19,"A","R"))))</f>
        <v>A</v>
      </c>
      <c r="G19" s="35" t="str">
        <f>IF(OR(Tracker!$A19="",Tracker!Q19="",Tracker!$I19="",Tracker!$J19=""),"",IF(Tracker!$H19="Higher",IF(Tracker!Q19&gt;=Tracker!$I19,"G",IF(Tracker!Q19&gt;=Tracker!$J19,"A","R")),IF(Tracker!Q19&lt;=Tracker!$I19,"G",IF(Tracker!Q19&lt;=Tracker!$J19,"A","R"))))</f>
        <v>A</v>
      </c>
      <c r="H19" s="35" t="str">
        <f>IF(OR(Tracker!$A19="",Tracker!R19="",Tracker!$I19="",Tracker!$J19=""),"",IF(Tracker!$H19="Higher",IF(Tracker!R19&gt;=Tracker!$I19,"G",IF(Tracker!R19&gt;=Tracker!$J19,"A","R")),IF(Tracker!R19&lt;=Tracker!$I19,"G",IF(Tracker!R19&lt;=Tracker!$J19,"A","R"))))</f>
        <v>A</v>
      </c>
      <c r="I19" s="35" t="str">
        <f>IF(OR(Tracker!$A19="",Tracker!S19="",Tracker!$I19="",Tracker!$J19=""),"",IF(Tracker!$H19="Higher",IF(Tracker!S19&gt;=Tracker!$I19,"G",IF(Tracker!S19&gt;=Tracker!$J19,"A","R")),IF(Tracker!S19&lt;=Tracker!$I19,"G",IF(Tracker!S19&lt;=Tracker!$J19,"A","R"))))</f>
        <v>A</v>
      </c>
      <c r="J19" s="35" t="str">
        <f>IF(OR(Tracker!$A19="",Tracker!T19="",Tracker!$I19="",Tracker!$J19=""),"",IF(Tracker!$H19="Higher",IF(Tracker!T19&gt;=Tracker!$I19,"G",IF(Tracker!T19&gt;=Tracker!$J19,"A","R")),IF(Tracker!T19&lt;=Tracker!$I19,"G",IF(Tracker!T19&lt;=Tracker!$J19,"A","R"))))</f>
        <v>A</v>
      </c>
      <c r="K19" s="35" t="str">
        <f>IF(OR(Tracker!$A19="",Tracker!U19="",Tracker!$I19="",Tracker!$J19=""),"",IF(Tracker!$H19="Higher",IF(Tracker!U19&gt;=Tracker!$I19,"G",IF(Tracker!U19&gt;=Tracker!$J19,"A","R")),IF(Tracker!U19&lt;=Tracker!$I19,"G",IF(Tracker!U19&lt;=Tracker!$J19,"A","R"))))</f>
        <v/>
      </c>
      <c r="L19" s="35" t="str">
        <f>IF(OR(Tracker!$A19="",Tracker!V19="",Tracker!$I19="",Tracker!$J19=""),"",IF(Tracker!$H19="Higher",IF(Tracker!V19&gt;=Tracker!$I19,"G",IF(Tracker!V19&gt;=Tracker!$J19,"A","R")),IF(Tracker!V19&lt;=Tracker!$I19,"G",IF(Tracker!V19&lt;=Tracker!$J19,"A","R"))))</f>
        <v/>
      </c>
      <c r="M19" s="35" t="str">
        <f>IF(OR(Tracker!$A19="",Tracker!W19="",Tracker!$I19="",Tracker!$J19=""),"",IF(Tracker!$H19="Higher",IF(Tracker!W19&gt;=Tracker!$I19,"G",IF(Tracker!W19&gt;=Tracker!$J19,"A","R")),IF(Tracker!W19&lt;=Tracker!$I19,"G",IF(Tracker!W19&lt;=Tracker!$J19,"A","R"))))</f>
        <v/>
      </c>
    </row>
    <row r="20" spans="1:13" x14ac:dyDescent="0.45">
      <c r="A20" s="15" t="str">
        <f>Tracker!A20</f>
        <v>R01</v>
      </c>
      <c r="B20" s="35" t="str">
        <f>IF(OR(Tracker!$A20="",Tracker!L20="",Tracker!$I20="",Tracker!$J20=""),"",IF(Tracker!$H20="Higher",IF(Tracker!L20&gt;=Tracker!$I20,"G",IF(Tracker!L20&gt;=Tracker!$J20,"A","R")),IF(Tracker!L20&lt;=Tracker!$I20,"G",IF(Tracker!L20&lt;=Tracker!$J20,"A","R"))))</f>
        <v>G</v>
      </c>
      <c r="C20" s="35" t="str">
        <f>IF(OR(Tracker!$A20="",Tracker!M20="",Tracker!$I20="",Tracker!$J20=""),"",IF(Tracker!$H20="Higher",IF(Tracker!M20&gt;=Tracker!$I20,"G",IF(Tracker!M20&gt;=Tracker!$J20,"A","R")),IF(Tracker!M20&lt;=Tracker!$I20,"G",IF(Tracker!M20&lt;=Tracker!$J20,"A","R"))))</f>
        <v>G</v>
      </c>
      <c r="D20" s="35" t="str">
        <f>IF(OR(Tracker!$A20="",Tracker!N20="",Tracker!$I20="",Tracker!$J20=""),"",IF(Tracker!$H20="Higher",IF(Tracker!N20&gt;=Tracker!$I20,"G",IF(Tracker!N20&gt;=Tracker!$J20,"A","R")),IF(Tracker!N20&lt;=Tracker!$I20,"G",IF(Tracker!N20&lt;=Tracker!$J20,"A","R"))))</f>
        <v>A</v>
      </c>
      <c r="E20" s="35" t="str">
        <f>IF(OR(Tracker!$A20="",Tracker!O20="",Tracker!$I20="",Tracker!$J20=""),"",IF(Tracker!$H20="Higher",IF(Tracker!O20&gt;=Tracker!$I20,"G",IF(Tracker!O20&gt;=Tracker!$J20,"A","R")),IF(Tracker!O20&lt;=Tracker!$I20,"G",IF(Tracker!O20&lt;=Tracker!$J20,"A","R"))))</f>
        <v>A</v>
      </c>
      <c r="F20" s="35" t="str">
        <f>IF(OR(Tracker!$A20="",Tracker!P20="",Tracker!$I20="",Tracker!$J20=""),"",IF(Tracker!$H20="Higher",IF(Tracker!P20&gt;=Tracker!$I20,"G",IF(Tracker!P20&gt;=Tracker!$J20,"A","R")),IF(Tracker!P20&lt;=Tracker!$I20,"G",IF(Tracker!P20&lt;=Tracker!$J20,"A","R"))))</f>
        <v>A</v>
      </c>
      <c r="G20" s="35" t="str">
        <f>IF(OR(Tracker!$A20="",Tracker!Q20="",Tracker!$I20="",Tracker!$J20=""),"",IF(Tracker!$H20="Higher",IF(Tracker!Q20&gt;=Tracker!$I20,"G",IF(Tracker!Q20&gt;=Tracker!$J20,"A","R")),IF(Tracker!Q20&lt;=Tracker!$I20,"G",IF(Tracker!Q20&lt;=Tracker!$J20,"A","R"))))</f>
        <v>A</v>
      </c>
      <c r="H20" s="35" t="str">
        <f>IF(OR(Tracker!$A20="",Tracker!R20="",Tracker!$I20="",Tracker!$J20=""),"",IF(Tracker!$H20="Higher",IF(Tracker!R20&gt;=Tracker!$I20,"G",IF(Tracker!R20&gt;=Tracker!$J20,"A","R")),IF(Tracker!R20&lt;=Tracker!$I20,"G",IF(Tracker!R20&lt;=Tracker!$J20,"A","R"))))</f>
        <v>A</v>
      </c>
      <c r="I20" s="35" t="str">
        <f>IF(OR(Tracker!$A20="",Tracker!S20="",Tracker!$I20="",Tracker!$J20=""),"",IF(Tracker!$H20="Higher",IF(Tracker!S20&gt;=Tracker!$I20,"G",IF(Tracker!S20&gt;=Tracker!$J20,"A","R")),IF(Tracker!S20&lt;=Tracker!$I20,"G",IF(Tracker!S20&lt;=Tracker!$J20,"A","R"))))</f>
        <v>R</v>
      </c>
      <c r="J20" s="35" t="str">
        <f>IF(OR(Tracker!$A20="",Tracker!T20="",Tracker!$I20="",Tracker!$J20=""),"",IF(Tracker!$H20="Higher",IF(Tracker!T20&gt;=Tracker!$I20,"G",IF(Tracker!T20&gt;=Tracker!$J20,"A","R")),IF(Tracker!T20&lt;=Tracker!$I20,"G",IF(Tracker!T20&lt;=Tracker!$J20,"A","R"))))</f>
        <v>R</v>
      </c>
      <c r="K20" s="35" t="str">
        <f>IF(OR(Tracker!$A20="",Tracker!U20="",Tracker!$I20="",Tracker!$J20=""),"",IF(Tracker!$H20="Higher",IF(Tracker!U20&gt;=Tracker!$I20,"G",IF(Tracker!U20&gt;=Tracker!$J20,"A","R")),IF(Tracker!U20&lt;=Tracker!$I20,"G",IF(Tracker!U20&lt;=Tracker!$J20,"A","R"))))</f>
        <v/>
      </c>
      <c r="L20" s="35" t="str">
        <f>IF(OR(Tracker!$A20="",Tracker!V20="",Tracker!$I20="",Tracker!$J20=""),"",IF(Tracker!$H20="Higher",IF(Tracker!V20&gt;=Tracker!$I20,"G",IF(Tracker!V20&gt;=Tracker!$J20,"A","R")),IF(Tracker!V20&lt;=Tracker!$I20,"G",IF(Tracker!V20&lt;=Tracker!$J20,"A","R"))))</f>
        <v/>
      </c>
      <c r="M20" s="35" t="str">
        <f>IF(OR(Tracker!$A20="",Tracker!W20="",Tracker!$I20="",Tracker!$J20=""),"",IF(Tracker!$H20="Higher",IF(Tracker!W20&gt;=Tracker!$I20,"G",IF(Tracker!W20&gt;=Tracker!$J20,"A","R")),IF(Tracker!W20&lt;=Tracker!$I20,"G",IF(Tracker!W20&lt;=Tracker!$J20,"A","R"))))</f>
        <v/>
      </c>
    </row>
    <row r="21" spans="1:13" x14ac:dyDescent="0.45">
      <c r="A21" s="15" t="str">
        <f>Tracker!A21</f>
        <v>R02</v>
      </c>
      <c r="B21" s="35" t="str">
        <f>IF(OR(Tracker!$A21="",Tracker!L21="",Tracker!$I21="",Tracker!$J21=""),"",IF(Tracker!$H21="Higher",IF(Tracker!L21&gt;=Tracker!$I21,"G",IF(Tracker!L21&gt;=Tracker!$J21,"A","R")),IF(Tracker!L21&lt;=Tracker!$I21,"G",IF(Tracker!L21&lt;=Tracker!$J21,"A","R"))))</f>
        <v>G</v>
      </c>
      <c r="C21" s="35" t="str">
        <f>IF(OR(Tracker!$A21="",Tracker!M21="",Tracker!$I21="",Tracker!$J21=""),"",IF(Tracker!$H21="Higher",IF(Tracker!M21&gt;=Tracker!$I21,"G",IF(Tracker!M21&gt;=Tracker!$J21,"A","R")),IF(Tracker!M21&lt;=Tracker!$I21,"G",IF(Tracker!M21&lt;=Tracker!$J21,"A","R"))))</f>
        <v>G</v>
      </c>
      <c r="D21" s="35" t="str">
        <f>IF(OR(Tracker!$A21="",Tracker!N21="",Tracker!$I21="",Tracker!$J21=""),"",IF(Tracker!$H21="Higher",IF(Tracker!N21&gt;=Tracker!$I21,"G",IF(Tracker!N21&gt;=Tracker!$J21,"A","R")),IF(Tracker!N21&lt;=Tracker!$I21,"G",IF(Tracker!N21&lt;=Tracker!$J21,"A","R"))))</f>
        <v>G</v>
      </c>
      <c r="E21" s="35" t="str">
        <f>IF(OR(Tracker!$A21="",Tracker!O21="",Tracker!$I21="",Tracker!$J21=""),"",IF(Tracker!$H21="Higher",IF(Tracker!O21&gt;=Tracker!$I21,"G",IF(Tracker!O21&gt;=Tracker!$J21,"A","R")),IF(Tracker!O21&lt;=Tracker!$I21,"G",IF(Tracker!O21&lt;=Tracker!$J21,"A","R"))))</f>
        <v>G</v>
      </c>
      <c r="F21" s="35" t="str">
        <f>IF(OR(Tracker!$A21="",Tracker!P21="",Tracker!$I21="",Tracker!$J21=""),"",IF(Tracker!$H21="Higher",IF(Tracker!P21&gt;=Tracker!$I21,"G",IF(Tracker!P21&gt;=Tracker!$J21,"A","R")),IF(Tracker!P21&lt;=Tracker!$I21,"G",IF(Tracker!P21&lt;=Tracker!$J21,"A","R"))))</f>
        <v>A</v>
      </c>
      <c r="G21" s="35" t="str">
        <f>IF(OR(Tracker!$A21="",Tracker!Q21="",Tracker!$I21="",Tracker!$J21=""),"",IF(Tracker!$H21="Higher",IF(Tracker!Q21&gt;=Tracker!$I21,"G",IF(Tracker!Q21&gt;=Tracker!$J21,"A","R")),IF(Tracker!Q21&lt;=Tracker!$I21,"G",IF(Tracker!Q21&lt;=Tracker!$J21,"A","R"))))</f>
        <v>A</v>
      </c>
      <c r="H21" s="35" t="str">
        <f>IF(OR(Tracker!$A21="",Tracker!R21="",Tracker!$I21="",Tracker!$J21=""),"",IF(Tracker!$H21="Higher",IF(Tracker!R21&gt;=Tracker!$I21,"G",IF(Tracker!R21&gt;=Tracker!$J21,"A","R")),IF(Tracker!R21&lt;=Tracker!$I21,"G",IF(Tracker!R21&lt;=Tracker!$J21,"A","R"))))</f>
        <v>A</v>
      </c>
      <c r="I21" s="35" t="str">
        <f>IF(OR(Tracker!$A21="",Tracker!S21="",Tracker!$I21="",Tracker!$J21=""),"",IF(Tracker!$H21="Higher",IF(Tracker!S21&gt;=Tracker!$I21,"G",IF(Tracker!S21&gt;=Tracker!$J21,"A","R")),IF(Tracker!S21&lt;=Tracker!$I21,"G",IF(Tracker!S21&lt;=Tracker!$J21,"A","R"))))</f>
        <v>A</v>
      </c>
      <c r="J21" s="35" t="str">
        <f>IF(OR(Tracker!$A21="",Tracker!T21="",Tracker!$I21="",Tracker!$J21=""),"",IF(Tracker!$H21="Higher",IF(Tracker!T21&gt;=Tracker!$I21,"G",IF(Tracker!T21&gt;=Tracker!$J21,"A","R")),IF(Tracker!T21&lt;=Tracker!$I21,"G",IF(Tracker!T21&lt;=Tracker!$J21,"A","R"))))</f>
        <v>A</v>
      </c>
      <c r="K21" s="35" t="str">
        <f>IF(OR(Tracker!$A21="",Tracker!U21="",Tracker!$I21="",Tracker!$J21=""),"",IF(Tracker!$H21="Higher",IF(Tracker!U21&gt;=Tracker!$I21,"G",IF(Tracker!U21&gt;=Tracker!$J21,"A","R")),IF(Tracker!U21&lt;=Tracker!$I21,"G",IF(Tracker!U21&lt;=Tracker!$J21,"A","R"))))</f>
        <v/>
      </c>
      <c r="L21" s="35" t="str">
        <f>IF(OR(Tracker!$A21="",Tracker!V21="",Tracker!$I21="",Tracker!$J21=""),"",IF(Tracker!$H21="Higher",IF(Tracker!V21&gt;=Tracker!$I21,"G",IF(Tracker!V21&gt;=Tracker!$J21,"A","R")),IF(Tracker!V21&lt;=Tracker!$I21,"G",IF(Tracker!V21&lt;=Tracker!$J21,"A","R"))))</f>
        <v/>
      </c>
      <c r="M21" s="35" t="str">
        <f>IF(OR(Tracker!$A21="",Tracker!W21="",Tracker!$I21="",Tracker!$J21=""),"",IF(Tracker!$H21="Higher",IF(Tracker!W21&gt;=Tracker!$I21,"G",IF(Tracker!W21&gt;=Tracker!$J21,"A","R")),IF(Tracker!W21&lt;=Tracker!$I21,"G",IF(Tracker!W21&lt;=Tracker!$J21,"A","R"))))</f>
        <v/>
      </c>
    </row>
    <row r="22" spans="1:13" x14ac:dyDescent="0.45">
      <c r="A22" s="15" t="str">
        <f>Tracker!A22</f>
        <v>K12</v>
      </c>
      <c r="B22" s="35" t="str">
        <f>IF(OR(Tracker!$A22="",Tracker!L22="",Tracker!$I22="",Tracker!$J22=""),"",IF(Tracker!$H22="Higher",IF(Tracker!L22&gt;=Tracker!$I22,"G",IF(Tracker!L22&gt;=Tracker!$J22,"A","R")),IF(Tracker!L22&lt;=Tracker!$I22,"G",IF(Tracker!L22&lt;=Tracker!$J22,"A","R"))))</f>
        <v>R</v>
      </c>
      <c r="C22" s="35" t="str">
        <f>IF(OR(Tracker!$A22="",Tracker!M22="",Tracker!$I22="",Tracker!$J22=""),"",IF(Tracker!$H22="Higher",IF(Tracker!M22&gt;=Tracker!$I22,"G",IF(Tracker!M22&gt;=Tracker!$J22,"A","R")),IF(Tracker!M22&lt;=Tracker!$I22,"G",IF(Tracker!M22&lt;=Tracker!$J22,"A","R"))))</f>
        <v>R</v>
      </c>
      <c r="D22" s="35" t="str">
        <f>IF(OR(Tracker!$A22="",Tracker!N22="",Tracker!$I22="",Tracker!$J22=""),"",IF(Tracker!$H22="Higher",IF(Tracker!N22&gt;=Tracker!$I22,"G",IF(Tracker!N22&gt;=Tracker!$J22,"A","R")),IF(Tracker!N22&lt;=Tracker!$I22,"G",IF(Tracker!N22&lt;=Tracker!$J22,"A","R"))))</f>
        <v>R</v>
      </c>
      <c r="E22" s="35" t="str">
        <f>IF(OR(Tracker!$A22="",Tracker!O22="",Tracker!$I22="",Tracker!$J22=""),"",IF(Tracker!$H22="Higher",IF(Tracker!O22&gt;=Tracker!$I22,"G",IF(Tracker!O22&gt;=Tracker!$J22,"A","R")),IF(Tracker!O22&lt;=Tracker!$I22,"G",IF(Tracker!O22&lt;=Tracker!$J22,"A","R"))))</f>
        <v>R</v>
      </c>
      <c r="F22" s="35" t="str">
        <f>IF(OR(Tracker!$A22="",Tracker!P22="",Tracker!$I22="",Tracker!$J22=""),"",IF(Tracker!$H22="Higher",IF(Tracker!P22&gt;=Tracker!$I22,"G",IF(Tracker!P22&gt;=Tracker!$J22,"A","R")),IF(Tracker!P22&lt;=Tracker!$I22,"G",IF(Tracker!P22&lt;=Tracker!$J22,"A","R"))))</f>
        <v>R</v>
      </c>
      <c r="G22" s="35" t="str">
        <f>IF(OR(Tracker!$A22="",Tracker!Q22="",Tracker!$I22="",Tracker!$J22=""),"",IF(Tracker!$H22="Higher",IF(Tracker!Q22&gt;=Tracker!$I22,"G",IF(Tracker!Q22&gt;=Tracker!$J22,"A","R")),IF(Tracker!Q22&lt;=Tracker!$I22,"G",IF(Tracker!Q22&lt;=Tracker!$J22,"A","R"))))</f>
        <v>R</v>
      </c>
      <c r="H22" s="35" t="str">
        <f>IF(OR(Tracker!$A22="",Tracker!R22="",Tracker!$I22="",Tracker!$J22=""),"",IF(Tracker!$H22="Higher",IF(Tracker!R22&gt;=Tracker!$I22,"G",IF(Tracker!R22&gt;=Tracker!$J22,"A","R")),IF(Tracker!R22&lt;=Tracker!$I22,"G",IF(Tracker!R22&lt;=Tracker!$J22,"A","R"))))</f>
        <v>R</v>
      </c>
      <c r="I22" s="35" t="str">
        <f>IF(OR(Tracker!$A22="",Tracker!S22="",Tracker!$I22="",Tracker!$J22=""),"",IF(Tracker!$H22="Higher",IF(Tracker!S22&gt;=Tracker!$I22,"G",IF(Tracker!S22&gt;=Tracker!$J22,"A","R")),IF(Tracker!S22&lt;=Tracker!$I22,"G",IF(Tracker!S22&lt;=Tracker!$J22,"A","R"))))</f>
        <v>R</v>
      </c>
      <c r="J22" s="35" t="str">
        <f>IF(OR(Tracker!$A22="",Tracker!T22="",Tracker!$I22="",Tracker!$J22=""),"",IF(Tracker!$H22="Higher",IF(Tracker!T22&gt;=Tracker!$I22,"G",IF(Tracker!T22&gt;=Tracker!$J22,"A","R")),IF(Tracker!T22&lt;=Tracker!$I22,"G",IF(Tracker!T22&lt;=Tracker!$J22,"A","R"))))</f>
        <v>R</v>
      </c>
      <c r="K22" s="35" t="str">
        <f>IF(OR(Tracker!$A22="",Tracker!U22="",Tracker!$I22="",Tracker!$J22=""),"",IF(Tracker!$H22="Higher",IF(Tracker!U22&gt;=Tracker!$I22,"G",IF(Tracker!U22&gt;=Tracker!$J22,"A","R")),IF(Tracker!U22&lt;=Tracker!$I22,"G",IF(Tracker!U22&lt;=Tracker!$J22,"A","R"))))</f>
        <v/>
      </c>
      <c r="L22" s="35" t="str">
        <f>IF(OR(Tracker!$A22="",Tracker!V22="",Tracker!$I22="",Tracker!$J22=""),"",IF(Tracker!$H22="Higher",IF(Tracker!V22&gt;=Tracker!$I22,"G",IF(Tracker!V22&gt;=Tracker!$J22,"A","R")),IF(Tracker!V22&lt;=Tracker!$I22,"G",IF(Tracker!V22&lt;=Tracker!$J22,"A","R"))))</f>
        <v/>
      </c>
      <c r="M22" s="35" t="str">
        <f>IF(OR(Tracker!$A22="",Tracker!W22="",Tracker!$I22="",Tracker!$J22=""),"",IF(Tracker!$H22="Higher",IF(Tracker!W22&gt;=Tracker!$I22,"G",IF(Tracker!W22&gt;=Tracker!$J22,"A","R")),IF(Tracker!W22&lt;=Tracker!$I22,"G",IF(Tracker!W22&lt;=Tracker!$J22,"A","R"))))</f>
        <v/>
      </c>
    </row>
    <row r="23" spans="1:13" x14ac:dyDescent="0.45">
      <c r="A23" s="15" t="str">
        <f>Tracker!A23</f>
        <v>K13</v>
      </c>
      <c r="B23" s="35" t="str">
        <f>IF(OR(Tracker!$A23="",Tracker!L23="",Tracker!$I23="",Tracker!$J23=""),"",IF(Tracker!$H23="Higher",IF(Tracker!L23&gt;=Tracker!$I23,"G",IF(Tracker!L23&gt;=Tracker!$J23,"A","R")),IF(Tracker!L23&lt;=Tracker!$I23,"G",IF(Tracker!L23&lt;=Tracker!$J23,"A","R"))))</f>
        <v>R</v>
      </c>
      <c r="C23" s="35" t="str">
        <f>IF(OR(Tracker!$A23="",Tracker!M23="",Tracker!$I23="",Tracker!$J23=""),"",IF(Tracker!$H23="Higher",IF(Tracker!M23&gt;=Tracker!$I23,"G",IF(Tracker!M23&gt;=Tracker!$J23,"A","R")),IF(Tracker!M23&lt;=Tracker!$I23,"G",IF(Tracker!M23&lt;=Tracker!$J23,"A","R"))))</f>
        <v>R</v>
      </c>
      <c r="D23" s="35" t="str">
        <f>IF(OR(Tracker!$A23="",Tracker!N23="",Tracker!$I23="",Tracker!$J23=""),"",IF(Tracker!$H23="Higher",IF(Tracker!N23&gt;=Tracker!$I23,"G",IF(Tracker!N23&gt;=Tracker!$J23,"A","R")),IF(Tracker!N23&lt;=Tracker!$I23,"G",IF(Tracker!N23&lt;=Tracker!$J23,"A","R"))))</f>
        <v>R</v>
      </c>
      <c r="E23" s="35" t="str">
        <f>IF(OR(Tracker!$A23="",Tracker!O23="",Tracker!$I23="",Tracker!$J23=""),"",IF(Tracker!$H23="Higher",IF(Tracker!O23&gt;=Tracker!$I23,"G",IF(Tracker!O23&gt;=Tracker!$J23,"A","R")),IF(Tracker!O23&lt;=Tracker!$I23,"G",IF(Tracker!O23&lt;=Tracker!$J23,"A","R"))))</f>
        <v>R</v>
      </c>
      <c r="F23" s="35" t="str">
        <f>IF(OR(Tracker!$A23="",Tracker!P23="",Tracker!$I23="",Tracker!$J23=""),"",IF(Tracker!$H23="Higher",IF(Tracker!P23&gt;=Tracker!$I23,"G",IF(Tracker!P23&gt;=Tracker!$J23,"A","R")),IF(Tracker!P23&lt;=Tracker!$I23,"G",IF(Tracker!P23&lt;=Tracker!$J23,"A","R"))))</f>
        <v>A</v>
      </c>
      <c r="G23" s="35" t="str">
        <f>IF(OR(Tracker!$A23="",Tracker!Q23="",Tracker!$I23="",Tracker!$J23=""),"",IF(Tracker!$H23="Higher",IF(Tracker!Q23&gt;=Tracker!$I23,"G",IF(Tracker!Q23&gt;=Tracker!$J23,"A","R")),IF(Tracker!Q23&lt;=Tracker!$I23,"G",IF(Tracker!Q23&lt;=Tracker!$J23,"A","R"))))</f>
        <v>A</v>
      </c>
      <c r="H23" s="35" t="str">
        <f>IF(OR(Tracker!$A23="",Tracker!R23="",Tracker!$I23="",Tracker!$J23=""),"",IF(Tracker!$H23="Higher",IF(Tracker!R23&gt;=Tracker!$I23,"G",IF(Tracker!R23&gt;=Tracker!$J23,"A","R")),IF(Tracker!R23&lt;=Tracker!$I23,"G",IF(Tracker!R23&lt;=Tracker!$J23,"A","R"))))</f>
        <v>A</v>
      </c>
      <c r="I23" s="35" t="str">
        <f>IF(OR(Tracker!$A23="",Tracker!S23="",Tracker!$I23="",Tracker!$J23=""),"",IF(Tracker!$H23="Higher",IF(Tracker!S23&gt;=Tracker!$I23,"G",IF(Tracker!S23&gt;=Tracker!$J23,"A","R")),IF(Tracker!S23&lt;=Tracker!$I23,"G",IF(Tracker!S23&lt;=Tracker!$J23,"A","R"))))</f>
        <v>A</v>
      </c>
      <c r="J23" s="35" t="str">
        <f>IF(OR(Tracker!$A23="",Tracker!T23="",Tracker!$I23="",Tracker!$J23=""),"",IF(Tracker!$H23="Higher",IF(Tracker!T23&gt;=Tracker!$I23,"G",IF(Tracker!T23&gt;=Tracker!$J23,"A","R")),IF(Tracker!T23&lt;=Tracker!$I23,"G",IF(Tracker!T23&lt;=Tracker!$J23,"A","R"))))</f>
        <v>A</v>
      </c>
      <c r="K23" s="35" t="str">
        <f>IF(OR(Tracker!$A23="",Tracker!U23="",Tracker!$I23="",Tracker!$J23=""),"",IF(Tracker!$H23="Higher",IF(Tracker!U23&gt;=Tracker!$I23,"G",IF(Tracker!U23&gt;=Tracker!$J23,"A","R")),IF(Tracker!U23&lt;=Tracker!$I23,"G",IF(Tracker!U23&lt;=Tracker!$J23,"A","R"))))</f>
        <v/>
      </c>
      <c r="L23" s="35" t="str">
        <f>IF(OR(Tracker!$A23="",Tracker!V23="",Tracker!$I23="",Tracker!$J23=""),"",IF(Tracker!$H23="Higher",IF(Tracker!V23&gt;=Tracker!$I23,"G",IF(Tracker!V23&gt;=Tracker!$J23,"A","R")),IF(Tracker!V23&lt;=Tracker!$I23,"G",IF(Tracker!V23&lt;=Tracker!$J23,"A","R"))))</f>
        <v/>
      </c>
      <c r="M23" s="35" t="str">
        <f>IF(OR(Tracker!$A23="",Tracker!W23="",Tracker!$I23="",Tracker!$J23=""),"",IF(Tracker!$H23="Higher",IF(Tracker!W23&gt;=Tracker!$I23,"G",IF(Tracker!W23&gt;=Tracker!$J23,"A","R")),IF(Tracker!W23&lt;=Tracker!$I23,"G",IF(Tracker!W23&lt;=Tracker!$J23,"A","R"))))</f>
        <v/>
      </c>
    </row>
    <row r="24" spans="1:13" x14ac:dyDescent="0.45">
      <c r="A24" s="15" t="str">
        <f>Tracker!A24</f>
        <v>R05</v>
      </c>
      <c r="B24" s="35" t="str">
        <f>IF(OR(Tracker!$A24="",Tracker!L24="",Tracker!$I24="",Tracker!$J24=""),"",IF(Tracker!$H24="Higher",IF(Tracker!L24&gt;=Tracker!$I24,"G",IF(Tracker!L24&gt;=Tracker!$J24,"A","R")),IF(Tracker!L24&lt;=Tracker!$I24,"G",IF(Tracker!L24&lt;=Tracker!$J24,"A","R"))))</f>
        <v>A</v>
      </c>
      <c r="C24" s="35" t="str">
        <f>IF(OR(Tracker!$A24="",Tracker!M24="",Tracker!$I24="",Tracker!$J24=""),"",IF(Tracker!$H24="Higher",IF(Tracker!M24&gt;=Tracker!$I24,"G",IF(Tracker!M24&gt;=Tracker!$J24,"A","R")),IF(Tracker!M24&lt;=Tracker!$I24,"G",IF(Tracker!M24&lt;=Tracker!$J24,"A","R"))))</f>
        <v>A</v>
      </c>
      <c r="D24" s="35" t="str">
        <f>IF(OR(Tracker!$A24="",Tracker!N24="",Tracker!$I24="",Tracker!$J24=""),"",IF(Tracker!$H24="Higher",IF(Tracker!N24&gt;=Tracker!$I24,"G",IF(Tracker!N24&gt;=Tracker!$J24,"A","R")),IF(Tracker!N24&lt;=Tracker!$I24,"G",IF(Tracker!N24&lt;=Tracker!$J24,"A","R"))))</f>
        <v>G</v>
      </c>
      <c r="E24" s="35" t="str">
        <f>IF(OR(Tracker!$A24="",Tracker!O24="",Tracker!$I24="",Tracker!$J24=""),"",IF(Tracker!$H24="Higher",IF(Tracker!O24&gt;=Tracker!$I24,"G",IF(Tracker!O24&gt;=Tracker!$J24,"A","R")),IF(Tracker!O24&lt;=Tracker!$I24,"G",IF(Tracker!O24&lt;=Tracker!$J24,"A","R"))))</f>
        <v>G</v>
      </c>
      <c r="F24" s="35" t="str">
        <f>IF(OR(Tracker!$A24="",Tracker!P24="",Tracker!$I24="",Tracker!$J24=""),"",IF(Tracker!$H24="Higher",IF(Tracker!P24&gt;=Tracker!$I24,"G",IF(Tracker!P24&gt;=Tracker!$J24,"A","R")),IF(Tracker!P24&lt;=Tracker!$I24,"G",IF(Tracker!P24&lt;=Tracker!$J24,"A","R"))))</f>
        <v>G</v>
      </c>
      <c r="G24" s="35" t="str">
        <f>IF(OR(Tracker!$A24="",Tracker!Q24="",Tracker!$I24="",Tracker!$J24=""),"",IF(Tracker!$H24="Higher",IF(Tracker!Q24&gt;=Tracker!$I24,"G",IF(Tracker!Q24&gt;=Tracker!$J24,"A","R")),IF(Tracker!Q24&lt;=Tracker!$I24,"G",IF(Tracker!Q24&lt;=Tracker!$J24,"A","R"))))</f>
        <v>G</v>
      </c>
      <c r="H24" s="35" t="str">
        <f>IF(OR(Tracker!$A24="",Tracker!R24="",Tracker!$I24="",Tracker!$J24=""),"",IF(Tracker!$H24="Higher",IF(Tracker!R24&gt;=Tracker!$I24,"G",IF(Tracker!R24&gt;=Tracker!$J24,"A","R")),IF(Tracker!R24&lt;=Tracker!$I24,"G",IF(Tracker!R24&lt;=Tracker!$J24,"A","R"))))</f>
        <v>G</v>
      </c>
      <c r="I24" s="35" t="str">
        <f>IF(OR(Tracker!$A24="",Tracker!S24="",Tracker!$I24="",Tracker!$J24=""),"",IF(Tracker!$H24="Higher",IF(Tracker!S24&gt;=Tracker!$I24,"G",IF(Tracker!S24&gt;=Tracker!$J24,"A","R")),IF(Tracker!S24&lt;=Tracker!$I24,"G",IF(Tracker!S24&lt;=Tracker!$J24,"A","R"))))</f>
        <v>G</v>
      </c>
      <c r="J24" s="35" t="str">
        <f>IF(OR(Tracker!$A24="",Tracker!T24="",Tracker!$I24="",Tracker!$J24=""),"",IF(Tracker!$H24="Higher",IF(Tracker!T24&gt;=Tracker!$I24,"G",IF(Tracker!T24&gt;=Tracker!$J24,"A","R")),IF(Tracker!T24&lt;=Tracker!$I24,"G",IF(Tracker!T24&lt;=Tracker!$J24,"A","R"))))</f>
        <v>G</v>
      </c>
      <c r="K24" s="35" t="str">
        <f>IF(OR(Tracker!$A24="",Tracker!U24="",Tracker!$I24="",Tracker!$J24=""),"",IF(Tracker!$H24="Higher",IF(Tracker!U24&gt;=Tracker!$I24,"G",IF(Tracker!U24&gt;=Tracker!$J24,"A","R")),IF(Tracker!U24&lt;=Tracker!$I24,"G",IF(Tracker!U24&lt;=Tracker!$J24,"A","R"))))</f>
        <v/>
      </c>
      <c r="L24" s="35" t="str">
        <f>IF(OR(Tracker!$A24="",Tracker!V24="",Tracker!$I24="",Tracker!$J24=""),"",IF(Tracker!$H24="Higher",IF(Tracker!V24&gt;=Tracker!$I24,"G",IF(Tracker!V24&gt;=Tracker!$J24,"A","R")),IF(Tracker!V24&lt;=Tracker!$I24,"G",IF(Tracker!V24&lt;=Tracker!$J24,"A","R"))))</f>
        <v/>
      </c>
      <c r="M24" s="35" t="str">
        <f>IF(OR(Tracker!$A24="",Tracker!W24="",Tracker!$I24="",Tracker!$J24=""),"",IF(Tracker!$H24="Higher",IF(Tracker!W24&gt;=Tracker!$I24,"G",IF(Tracker!W24&gt;=Tracker!$J24,"A","R")),IF(Tracker!W24&lt;=Tracker!$I24,"G",IF(Tracker!W24&lt;=Tracker!$J24,"A","R"))))</f>
        <v/>
      </c>
    </row>
    <row r="25" spans="1:13" x14ac:dyDescent="0.45">
      <c r="A25" s="15" t="str">
        <f>Tracker!A25</f>
        <v>R06</v>
      </c>
      <c r="B25" s="35" t="str">
        <f>IF(OR(Tracker!$A25="",Tracker!L25="",Tracker!$I25="",Tracker!$J25=""),"",IF(Tracker!$H25="Higher",IF(Tracker!L25&gt;=Tracker!$I25,"G",IF(Tracker!L25&gt;=Tracker!$J25,"A","R")),IF(Tracker!L25&lt;=Tracker!$I25,"G",IF(Tracker!L25&lt;=Tracker!$J25,"A","R"))))</f>
        <v>R</v>
      </c>
      <c r="C25" s="35" t="str">
        <f>IF(OR(Tracker!$A25="",Tracker!M25="",Tracker!$I25="",Tracker!$J25=""),"",IF(Tracker!$H25="Higher",IF(Tracker!M25&gt;=Tracker!$I25,"G",IF(Tracker!M25&gt;=Tracker!$J25,"A","R")),IF(Tracker!M25&lt;=Tracker!$I25,"G",IF(Tracker!M25&lt;=Tracker!$J25,"A","R"))))</f>
        <v>R</v>
      </c>
      <c r="D25" s="35" t="str">
        <f>IF(OR(Tracker!$A25="",Tracker!N25="",Tracker!$I25="",Tracker!$J25=""),"",IF(Tracker!$H25="Higher",IF(Tracker!N25&gt;=Tracker!$I25,"G",IF(Tracker!N25&gt;=Tracker!$J25,"A","R")),IF(Tracker!N25&lt;=Tracker!$I25,"G",IF(Tracker!N25&lt;=Tracker!$J25,"A","R"))))</f>
        <v>A</v>
      </c>
      <c r="E25" s="35" t="str">
        <f>IF(OR(Tracker!$A25="",Tracker!O25="",Tracker!$I25="",Tracker!$J25=""),"",IF(Tracker!$H25="Higher",IF(Tracker!O25&gt;=Tracker!$I25,"G",IF(Tracker!O25&gt;=Tracker!$J25,"A","R")),IF(Tracker!O25&lt;=Tracker!$I25,"G",IF(Tracker!O25&lt;=Tracker!$J25,"A","R"))))</f>
        <v>A</v>
      </c>
      <c r="F25" s="35" t="str">
        <f>IF(OR(Tracker!$A25="",Tracker!P25="",Tracker!$I25="",Tracker!$J25=""),"",IF(Tracker!$H25="Higher",IF(Tracker!P25&gt;=Tracker!$I25,"G",IF(Tracker!P25&gt;=Tracker!$J25,"A","R")),IF(Tracker!P25&lt;=Tracker!$I25,"G",IF(Tracker!P25&lt;=Tracker!$J25,"A","R"))))</f>
        <v>A</v>
      </c>
      <c r="G25" s="35" t="str">
        <f>IF(OR(Tracker!$A25="",Tracker!Q25="",Tracker!$I25="",Tracker!$J25=""),"",IF(Tracker!$H25="Higher",IF(Tracker!Q25&gt;=Tracker!$I25,"G",IF(Tracker!Q25&gt;=Tracker!$J25,"A","R")),IF(Tracker!Q25&lt;=Tracker!$I25,"G",IF(Tracker!Q25&lt;=Tracker!$J25,"A","R"))))</f>
        <v>G</v>
      </c>
      <c r="H25" s="35" t="str">
        <f>IF(OR(Tracker!$A25="",Tracker!R25="",Tracker!$I25="",Tracker!$J25=""),"",IF(Tracker!$H25="Higher",IF(Tracker!R25&gt;=Tracker!$I25,"G",IF(Tracker!R25&gt;=Tracker!$J25,"A","R")),IF(Tracker!R25&lt;=Tracker!$I25,"G",IF(Tracker!R25&lt;=Tracker!$J25,"A","R"))))</f>
        <v>A</v>
      </c>
      <c r="I25" s="35" t="str">
        <f>IF(OR(Tracker!$A25="",Tracker!S25="",Tracker!$I25="",Tracker!$J25=""),"",IF(Tracker!$H25="Higher",IF(Tracker!S25&gt;=Tracker!$I25,"G",IF(Tracker!S25&gt;=Tracker!$J25,"A","R")),IF(Tracker!S25&lt;=Tracker!$I25,"G",IF(Tracker!S25&lt;=Tracker!$J25,"A","R"))))</f>
        <v>G</v>
      </c>
      <c r="J25" s="35" t="str">
        <f>IF(OR(Tracker!$A25="",Tracker!T25="",Tracker!$I25="",Tracker!$J25=""),"",IF(Tracker!$H25="Higher",IF(Tracker!T25&gt;=Tracker!$I25,"G",IF(Tracker!T25&gt;=Tracker!$J25,"A","R")),IF(Tracker!T25&lt;=Tracker!$I25,"G",IF(Tracker!T25&lt;=Tracker!$J25,"A","R"))))</f>
        <v>G</v>
      </c>
      <c r="K25" s="35" t="str">
        <f>IF(OR(Tracker!$A25="",Tracker!U25="",Tracker!$I25="",Tracker!$J25=""),"",IF(Tracker!$H25="Higher",IF(Tracker!U25&gt;=Tracker!$I25,"G",IF(Tracker!U25&gt;=Tracker!$J25,"A","R")),IF(Tracker!U25&lt;=Tracker!$I25,"G",IF(Tracker!U25&lt;=Tracker!$J25,"A","R"))))</f>
        <v/>
      </c>
      <c r="L25" s="35" t="str">
        <f>IF(OR(Tracker!$A25="",Tracker!V25="",Tracker!$I25="",Tracker!$J25=""),"",IF(Tracker!$H25="Higher",IF(Tracker!V25&gt;=Tracker!$I25,"G",IF(Tracker!V25&gt;=Tracker!$J25,"A","R")),IF(Tracker!V25&lt;=Tracker!$I25,"G",IF(Tracker!V25&lt;=Tracker!$J25,"A","R"))))</f>
        <v/>
      </c>
      <c r="M25" s="35" t="str">
        <f>IF(OR(Tracker!$A25="",Tracker!W25="",Tracker!$I25="",Tracker!$J25=""),"",IF(Tracker!$H25="Higher",IF(Tracker!W25&gt;=Tracker!$I25,"G",IF(Tracker!W25&gt;=Tracker!$J25,"A","R")),IF(Tracker!W25&lt;=Tracker!$I25,"G",IF(Tracker!W25&lt;=Tracker!$J25,"A","R"))))</f>
        <v/>
      </c>
    </row>
    <row r="26" spans="1:13" x14ac:dyDescent="0.45">
      <c r="A26" s="15" t="str">
        <f>Tracker!A26</f>
        <v>R07</v>
      </c>
      <c r="B26" s="35" t="str">
        <f>IF(OR(Tracker!$A26="",Tracker!L26="",Tracker!$I26="",Tracker!$J26=""),"",IF(Tracker!$H26="Higher",IF(Tracker!L26&gt;=Tracker!$I26,"G",IF(Tracker!L26&gt;=Tracker!$J26,"A","R")),IF(Tracker!L26&lt;=Tracker!$I26,"G",IF(Tracker!L26&lt;=Tracker!$J26,"A","R"))))</f>
        <v>R</v>
      </c>
      <c r="C26" s="35" t="str">
        <f>IF(OR(Tracker!$A26="",Tracker!M26="",Tracker!$I26="",Tracker!$J26=""),"",IF(Tracker!$H26="Higher",IF(Tracker!M26&gt;=Tracker!$I26,"G",IF(Tracker!M26&gt;=Tracker!$J26,"A","R")),IF(Tracker!M26&lt;=Tracker!$I26,"G",IF(Tracker!M26&lt;=Tracker!$J26,"A","R"))))</f>
        <v>R</v>
      </c>
      <c r="D26" s="35" t="str">
        <f>IF(OR(Tracker!$A26="",Tracker!N26="",Tracker!$I26="",Tracker!$J26=""),"",IF(Tracker!$H26="Higher",IF(Tracker!N26&gt;=Tracker!$I26,"G",IF(Tracker!N26&gt;=Tracker!$J26,"A","R")),IF(Tracker!N26&lt;=Tracker!$I26,"G",IF(Tracker!N26&lt;=Tracker!$J26,"A","R"))))</f>
        <v>R</v>
      </c>
      <c r="E26" s="35" t="str">
        <f>IF(OR(Tracker!$A26="",Tracker!O26="",Tracker!$I26="",Tracker!$J26=""),"",IF(Tracker!$H26="Higher",IF(Tracker!O26&gt;=Tracker!$I26,"G",IF(Tracker!O26&gt;=Tracker!$J26,"A","R")),IF(Tracker!O26&lt;=Tracker!$I26,"G",IF(Tracker!O26&lt;=Tracker!$J26,"A","R"))))</f>
        <v>A</v>
      </c>
      <c r="F26" s="35" t="str">
        <f>IF(OR(Tracker!$A26="",Tracker!P26="",Tracker!$I26="",Tracker!$J26=""),"",IF(Tracker!$H26="Higher",IF(Tracker!P26&gt;=Tracker!$I26,"G",IF(Tracker!P26&gt;=Tracker!$J26,"A","R")),IF(Tracker!P26&lt;=Tracker!$I26,"G",IF(Tracker!P26&lt;=Tracker!$J26,"A","R"))))</f>
        <v>A</v>
      </c>
      <c r="G26" s="35" t="str">
        <f>IF(OR(Tracker!$A26="",Tracker!Q26="",Tracker!$I26="",Tracker!$J26=""),"",IF(Tracker!$H26="Higher",IF(Tracker!Q26&gt;=Tracker!$I26,"G",IF(Tracker!Q26&gt;=Tracker!$J26,"A","R")),IF(Tracker!Q26&lt;=Tracker!$I26,"G",IF(Tracker!Q26&lt;=Tracker!$J26,"A","R"))))</f>
        <v>A</v>
      </c>
      <c r="H26" s="35" t="str">
        <f>IF(OR(Tracker!$A26="",Tracker!R26="",Tracker!$I26="",Tracker!$J26=""),"",IF(Tracker!$H26="Higher",IF(Tracker!R26&gt;=Tracker!$I26,"G",IF(Tracker!R26&gt;=Tracker!$J26,"A","R")),IF(Tracker!R26&lt;=Tracker!$I26,"G",IF(Tracker!R26&lt;=Tracker!$J26,"A","R"))))</f>
        <v>A</v>
      </c>
      <c r="I26" s="35" t="str">
        <f>IF(OR(Tracker!$A26="",Tracker!S26="",Tracker!$I26="",Tracker!$J26=""),"",IF(Tracker!$H26="Higher",IF(Tracker!S26&gt;=Tracker!$I26,"G",IF(Tracker!S26&gt;=Tracker!$J26,"A","R")),IF(Tracker!S26&lt;=Tracker!$I26,"G",IF(Tracker!S26&lt;=Tracker!$J26,"A","R"))))</f>
        <v>A</v>
      </c>
      <c r="J26" s="35" t="str">
        <f>IF(OR(Tracker!$A26="",Tracker!T26="",Tracker!$I26="",Tracker!$J26=""),"",IF(Tracker!$H26="Higher",IF(Tracker!T26&gt;=Tracker!$I26,"G",IF(Tracker!T26&gt;=Tracker!$J26,"A","R")),IF(Tracker!T26&lt;=Tracker!$I26,"G",IF(Tracker!T26&lt;=Tracker!$J26,"A","R"))))</f>
        <v>A</v>
      </c>
      <c r="K26" s="35" t="str">
        <f>IF(OR(Tracker!$A26="",Tracker!U26="",Tracker!$I26="",Tracker!$J26=""),"",IF(Tracker!$H26="Higher",IF(Tracker!U26&gt;=Tracker!$I26,"G",IF(Tracker!U26&gt;=Tracker!$J26,"A","R")),IF(Tracker!U26&lt;=Tracker!$I26,"G",IF(Tracker!U26&lt;=Tracker!$J26,"A","R"))))</f>
        <v/>
      </c>
      <c r="L26" s="35" t="str">
        <f>IF(OR(Tracker!$A26="",Tracker!V26="",Tracker!$I26="",Tracker!$J26=""),"",IF(Tracker!$H26="Higher",IF(Tracker!V26&gt;=Tracker!$I26,"G",IF(Tracker!V26&gt;=Tracker!$J26,"A","R")),IF(Tracker!V26&lt;=Tracker!$I26,"G",IF(Tracker!V26&lt;=Tracker!$J26,"A","R"))))</f>
        <v/>
      </c>
      <c r="M26" s="35" t="str">
        <f>IF(OR(Tracker!$A26="",Tracker!W26="",Tracker!$I26="",Tracker!$J26=""),"",IF(Tracker!$H26="Higher",IF(Tracker!W26&gt;=Tracker!$I26,"G",IF(Tracker!W26&gt;=Tracker!$J26,"A","R")),IF(Tracker!W26&lt;=Tracker!$I26,"G",IF(Tracker!W26&lt;=Tracker!$J26,"A","R"))))</f>
        <v/>
      </c>
    </row>
    <row r="27" spans="1:13" x14ac:dyDescent="0.45">
      <c r="A27" s="15" t="str">
        <f>Tracker!A27</f>
        <v>R08</v>
      </c>
      <c r="B27" s="35" t="str">
        <f>IF(OR(Tracker!$A27="",Tracker!L27="",Tracker!$I27="",Tracker!$J27=""),"",IF(Tracker!$H27="Higher",IF(Tracker!L27&gt;=Tracker!$I27,"G",IF(Tracker!L27&gt;=Tracker!$J27,"A","R")),IF(Tracker!L27&lt;=Tracker!$I27,"G",IF(Tracker!L27&lt;=Tracker!$J27,"A","R"))))</f>
        <v>G</v>
      </c>
      <c r="C27" s="35" t="str">
        <f>IF(OR(Tracker!$A27="",Tracker!M27="",Tracker!$I27="",Tracker!$J27=""),"",IF(Tracker!$H27="Higher",IF(Tracker!M27&gt;=Tracker!$I27,"G",IF(Tracker!M27&gt;=Tracker!$J27,"A","R")),IF(Tracker!M27&lt;=Tracker!$I27,"G",IF(Tracker!M27&lt;=Tracker!$J27,"A","R"))))</f>
        <v>A</v>
      </c>
      <c r="D27" s="35" t="str">
        <f>IF(OR(Tracker!$A27="",Tracker!N27="",Tracker!$I27="",Tracker!$J27=""),"",IF(Tracker!$H27="Higher",IF(Tracker!N27&gt;=Tracker!$I27,"G",IF(Tracker!N27&gt;=Tracker!$J27,"A","R")),IF(Tracker!N27&lt;=Tracker!$I27,"G",IF(Tracker!N27&lt;=Tracker!$J27,"A","R"))))</f>
        <v>G</v>
      </c>
      <c r="E27" s="35" t="str">
        <f>IF(OR(Tracker!$A27="",Tracker!O27="",Tracker!$I27="",Tracker!$J27=""),"",IF(Tracker!$H27="Higher",IF(Tracker!O27&gt;=Tracker!$I27,"G",IF(Tracker!O27&gt;=Tracker!$J27,"A","R")),IF(Tracker!O27&lt;=Tracker!$I27,"G",IF(Tracker!O27&lt;=Tracker!$J27,"A","R"))))</f>
        <v>R</v>
      </c>
      <c r="F27" s="35" t="str">
        <f>IF(OR(Tracker!$A27="",Tracker!P27="",Tracker!$I27="",Tracker!$J27=""),"",IF(Tracker!$H27="Higher",IF(Tracker!P27&gt;=Tracker!$I27,"G",IF(Tracker!P27&gt;=Tracker!$J27,"A","R")),IF(Tracker!P27&lt;=Tracker!$I27,"G",IF(Tracker!P27&lt;=Tracker!$J27,"A","R"))))</f>
        <v>G</v>
      </c>
      <c r="G27" s="35" t="str">
        <f>IF(OR(Tracker!$A27="",Tracker!Q27="",Tracker!$I27="",Tracker!$J27=""),"",IF(Tracker!$H27="Higher",IF(Tracker!Q27&gt;=Tracker!$I27,"G",IF(Tracker!Q27&gt;=Tracker!$J27,"A","R")),IF(Tracker!Q27&lt;=Tracker!$I27,"G",IF(Tracker!Q27&lt;=Tracker!$J27,"A","R"))))</f>
        <v>G</v>
      </c>
      <c r="H27" s="35" t="str">
        <f>IF(OR(Tracker!$A27="",Tracker!R27="",Tracker!$I27="",Tracker!$J27=""),"",IF(Tracker!$H27="Higher",IF(Tracker!R27&gt;=Tracker!$I27,"G",IF(Tracker!R27&gt;=Tracker!$J27,"A","R")),IF(Tracker!R27&lt;=Tracker!$I27,"G",IF(Tracker!R27&lt;=Tracker!$J27,"A","R"))))</f>
        <v>G</v>
      </c>
      <c r="I27" s="35" t="str">
        <f>IF(OR(Tracker!$A27="",Tracker!S27="",Tracker!$I27="",Tracker!$J27=""),"",IF(Tracker!$H27="Higher",IF(Tracker!S27&gt;=Tracker!$I27,"G",IF(Tracker!S27&gt;=Tracker!$J27,"A","R")),IF(Tracker!S27&lt;=Tracker!$I27,"G",IF(Tracker!S27&lt;=Tracker!$J27,"A","R"))))</f>
        <v>A</v>
      </c>
      <c r="J27" s="35" t="str">
        <f>IF(OR(Tracker!$A27="",Tracker!T27="",Tracker!$I27="",Tracker!$J27=""),"",IF(Tracker!$H27="Higher",IF(Tracker!T27&gt;=Tracker!$I27,"G",IF(Tracker!T27&gt;=Tracker!$J27,"A","R")),IF(Tracker!T27&lt;=Tracker!$I27,"G",IF(Tracker!T27&lt;=Tracker!$J27,"A","R"))))</f>
        <v>G</v>
      </c>
      <c r="K27" s="35" t="str">
        <f>IF(OR(Tracker!$A27="",Tracker!U27="",Tracker!$I27="",Tracker!$J27=""),"",IF(Tracker!$H27="Higher",IF(Tracker!U27&gt;=Tracker!$I27,"G",IF(Tracker!U27&gt;=Tracker!$J27,"A","R")),IF(Tracker!U27&lt;=Tracker!$I27,"G",IF(Tracker!U27&lt;=Tracker!$J27,"A","R"))))</f>
        <v/>
      </c>
      <c r="L27" s="35" t="str">
        <f>IF(OR(Tracker!$A27="",Tracker!V27="",Tracker!$I27="",Tracker!$J27=""),"",IF(Tracker!$H27="Higher",IF(Tracker!V27&gt;=Tracker!$I27,"G",IF(Tracker!V27&gt;=Tracker!$J27,"A","R")),IF(Tracker!V27&lt;=Tracker!$I27,"G",IF(Tracker!V27&lt;=Tracker!$J27,"A","R"))))</f>
        <v/>
      </c>
      <c r="M27" s="35" t="str">
        <f>IF(OR(Tracker!$A27="",Tracker!W27="",Tracker!$I27="",Tracker!$J27=""),"",IF(Tracker!$H27="Higher",IF(Tracker!W27&gt;=Tracker!$I27,"G",IF(Tracker!W27&gt;=Tracker!$J27,"A","R")),IF(Tracker!W27&lt;=Tracker!$I27,"G",IF(Tracker!W27&lt;=Tracker!$J27,"A","R"))))</f>
        <v/>
      </c>
    </row>
    <row r="28" spans="1:13" x14ac:dyDescent="0.45">
      <c r="A28" s="15" t="str">
        <f>Tracker!A28</f>
        <v>R09</v>
      </c>
      <c r="B28" s="35" t="str">
        <f>IF(OR(Tracker!$A28="",Tracker!L28="",Tracker!$I28="",Tracker!$J28=""),"",IF(Tracker!$H28="Higher",IF(Tracker!L28&gt;=Tracker!$I28,"G",IF(Tracker!L28&gt;=Tracker!$J28,"A","R")),IF(Tracker!L28&lt;=Tracker!$I28,"G",IF(Tracker!L28&lt;=Tracker!$J28,"A","R"))))</f>
        <v>A</v>
      </c>
      <c r="C28" s="35" t="str">
        <f>IF(OR(Tracker!$A28="",Tracker!M28="",Tracker!$I28="",Tracker!$J28=""),"",IF(Tracker!$H28="Higher",IF(Tracker!M28&gt;=Tracker!$I28,"G",IF(Tracker!M28&gt;=Tracker!$J28,"A","R")),IF(Tracker!M28&lt;=Tracker!$I28,"G",IF(Tracker!M28&lt;=Tracker!$J28,"A","R"))))</f>
        <v>A</v>
      </c>
      <c r="D28" s="35" t="str">
        <f>IF(OR(Tracker!$A28="",Tracker!N28="",Tracker!$I28="",Tracker!$J28=""),"",IF(Tracker!$H28="Higher",IF(Tracker!N28&gt;=Tracker!$I28,"G",IF(Tracker!N28&gt;=Tracker!$J28,"A","R")),IF(Tracker!N28&lt;=Tracker!$I28,"G",IF(Tracker!N28&lt;=Tracker!$J28,"A","R"))))</f>
        <v>R</v>
      </c>
      <c r="E28" s="35" t="str">
        <f>IF(OR(Tracker!$A28="",Tracker!O28="",Tracker!$I28="",Tracker!$J28=""),"",IF(Tracker!$H28="Higher",IF(Tracker!O28&gt;=Tracker!$I28,"G",IF(Tracker!O28&gt;=Tracker!$J28,"A","R")),IF(Tracker!O28&lt;=Tracker!$I28,"G",IF(Tracker!O28&lt;=Tracker!$J28,"A","R"))))</f>
        <v>R</v>
      </c>
      <c r="F28" s="35" t="str">
        <f>IF(OR(Tracker!$A28="",Tracker!P28="",Tracker!$I28="",Tracker!$J28=""),"",IF(Tracker!$H28="Higher",IF(Tracker!P28&gt;=Tracker!$I28,"G",IF(Tracker!P28&gt;=Tracker!$J28,"A","R")),IF(Tracker!P28&lt;=Tracker!$I28,"G",IF(Tracker!P28&lt;=Tracker!$J28,"A","R"))))</f>
        <v>R</v>
      </c>
      <c r="G28" s="35" t="str">
        <f>IF(OR(Tracker!$A28="",Tracker!Q28="",Tracker!$I28="",Tracker!$J28=""),"",IF(Tracker!$H28="Higher",IF(Tracker!Q28&gt;=Tracker!$I28,"G",IF(Tracker!Q28&gt;=Tracker!$J28,"A","R")),IF(Tracker!Q28&lt;=Tracker!$I28,"G",IF(Tracker!Q28&lt;=Tracker!$J28,"A","R"))))</f>
        <v>R</v>
      </c>
      <c r="H28" s="35" t="str">
        <f>IF(OR(Tracker!$A28="",Tracker!R28="",Tracker!$I28="",Tracker!$J28=""),"",IF(Tracker!$H28="Higher",IF(Tracker!R28&gt;=Tracker!$I28,"G",IF(Tracker!R28&gt;=Tracker!$J28,"A","R")),IF(Tracker!R28&lt;=Tracker!$I28,"G",IF(Tracker!R28&lt;=Tracker!$J28,"A","R"))))</f>
        <v>R</v>
      </c>
      <c r="I28" s="35" t="str">
        <f>IF(OR(Tracker!$A28="",Tracker!S28="",Tracker!$I28="",Tracker!$J28=""),"",IF(Tracker!$H28="Higher",IF(Tracker!S28&gt;=Tracker!$I28,"G",IF(Tracker!S28&gt;=Tracker!$J28,"A","R")),IF(Tracker!S28&lt;=Tracker!$I28,"G",IF(Tracker!S28&lt;=Tracker!$J28,"A","R"))))</f>
        <v>R</v>
      </c>
      <c r="J28" s="35" t="str">
        <f>IF(OR(Tracker!$A28="",Tracker!T28="",Tracker!$I28="",Tracker!$J28=""),"",IF(Tracker!$H28="Higher",IF(Tracker!T28&gt;=Tracker!$I28,"G",IF(Tracker!T28&gt;=Tracker!$J28,"A","R")),IF(Tracker!T28&lt;=Tracker!$I28,"G",IF(Tracker!T28&lt;=Tracker!$J28,"A","R"))))</f>
        <v>R</v>
      </c>
      <c r="K28" s="35" t="str">
        <f>IF(OR(Tracker!$A28="",Tracker!U28="",Tracker!$I28="",Tracker!$J28=""),"",IF(Tracker!$H28="Higher",IF(Tracker!U28&gt;=Tracker!$I28,"G",IF(Tracker!U28&gt;=Tracker!$J28,"A","R")),IF(Tracker!U28&lt;=Tracker!$I28,"G",IF(Tracker!U28&lt;=Tracker!$J28,"A","R"))))</f>
        <v/>
      </c>
      <c r="L28" s="35" t="str">
        <f>IF(OR(Tracker!$A28="",Tracker!V28="",Tracker!$I28="",Tracker!$J28=""),"",IF(Tracker!$H28="Higher",IF(Tracker!V28&gt;=Tracker!$I28,"G",IF(Tracker!V28&gt;=Tracker!$J28,"A","R")),IF(Tracker!V28&lt;=Tracker!$I28,"G",IF(Tracker!V28&lt;=Tracker!$J28,"A","R"))))</f>
        <v/>
      </c>
      <c r="M28" s="35" t="str">
        <f>IF(OR(Tracker!$A28="",Tracker!W28="",Tracker!$I28="",Tracker!$J28=""),"",IF(Tracker!$H28="Higher",IF(Tracker!W28&gt;=Tracker!$I28,"G",IF(Tracker!W28&gt;=Tracker!$J28,"A","R")),IF(Tracker!W28&lt;=Tracker!$I28,"G",IF(Tracker!W28&lt;=Tracker!$J28,"A","R"))))</f>
        <v/>
      </c>
    </row>
    <row r="29" spans="1:13" x14ac:dyDescent="0.45">
      <c r="A29" s="15" t="str">
        <f>Tracker!A29</f>
        <v>R10</v>
      </c>
      <c r="B29" s="35" t="str">
        <f>IF(OR(Tracker!$A29="",Tracker!L29="",Tracker!$I29="",Tracker!$J29=""),"",IF(Tracker!$H29="Higher",IF(Tracker!L29&gt;=Tracker!$I29,"G",IF(Tracker!L29&gt;=Tracker!$J29,"A","R")),IF(Tracker!L29&lt;=Tracker!$I29,"G",IF(Tracker!L29&lt;=Tracker!$J29,"A","R"))))</f>
        <v>G</v>
      </c>
      <c r="C29" s="35" t="str">
        <f>IF(OR(Tracker!$A29="",Tracker!M29="",Tracker!$I29="",Tracker!$J29=""),"",IF(Tracker!$H29="Higher",IF(Tracker!M29&gt;=Tracker!$I29,"G",IF(Tracker!M29&gt;=Tracker!$J29,"A","R")),IF(Tracker!M29&lt;=Tracker!$I29,"G",IF(Tracker!M29&lt;=Tracker!$J29,"A","R"))))</f>
        <v>G</v>
      </c>
      <c r="D29" s="35" t="str">
        <f>IF(OR(Tracker!$A29="",Tracker!N29="",Tracker!$I29="",Tracker!$J29=""),"",IF(Tracker!$H29="Higher",IF(Tracker!N29&gt;=Tracker!$I29,"G",IF(Tracker!N29&gt;=Tracker!$J29,"A","R")),IF(Tracker!N29&lt;=Tracker!$I29,"G",IF(Tracker!N29&lt;=Tracker!$J29,"A","R"))))</f>
        <v>G</v>
      </c>
      <c r="E29" s="35" t="str">
        <f>IF(OR(Tracker!$A29="",Tracker!O29="",Tracker!$I29="",Tracker!$J29=""),"",IF(Tracker!$H29="Higher",IF(Tracker!O29&gt;=Tracker!$I29,"G",IF(Tracker!O29&gt;=Tracker!$J29,"A","R")),IF(Tracker!O29&lt;=Tracker!$I29,"G",IF(Tracker!O29&lt;=Tracker!$J29,"A","R"))))</f>
        <v>A</v>
      </c>
      <c r="F29" s="35" t="str">
        <f>IF(OR(Tracker!$A29="",Tracker!P29="",Tracker!$I29="",Tracker!$J29=""),"",IF(Tracker!$H29="Higher",IF(Tracker!P29&gt;=Tracker!$I29,"G",IF(Tracker!P29&gt;=Tracker!$J29,"A","R")),IF(Tracker!P29&lt;=Tracker!$I29,"G",IF(Tracker!P29&lt;=Tracker!$J29,"A","R"))))</f>
        <v>G</v>
      </c>
      <c r="G29" s="35" t="str">
        <f>IF(OR(Tracker!$A29="",Tracker!Q29="",Tracker!$I29="",Tracker!$J29=""),"",IF(Tracker!$H29="Higher",IF(Tracker!Q29&gt;=Tracker!$I29,"G",IF(Tracker!Q29&gt;=Tracker!$J29,"A","R")),IF(Tracker!Q29&lt;=Tracker!$I29,"G",IF(Tracker!Q29&lt;=Tracker!$J29,"A","R"))))</f>
        <v>G</v>
      </c>
      <c r="H29" s="35" t="str">
        <f>IF(OR(Tracker!$A29="",Tracker!R29="",Tracker!$I29="",Tracker!$J29=""),"",IF(Tracker!$H29="Higher",IF(Tracker!R29&gt;=Tracker!$I29,"G",IF(Tracker!R29&gt;=Tracker!$J29,"A","R")),IF(Tracker!R29&lt;=Tracker!$I29,"G",IF(Tracker!R29&lt;=Tracker!$J29,"A","R"))))</f>
        <v>A</v>
      </c>
      <c r="I29" s="35" t="str">
        <f>IF(OR(Tracker!$A29="",Tracker!S29="",Tracker!$I29="",Tracker!$J29=""),"",IF(Tracker!$H29="Higher",IF(Tracker!S29&gt;=Tracker!$I29,"G",IF(Tracker!S29&gt;=Tracker!$J29,"A","R")),IF(Tracker!S29&lt;=Tracker!$I29,"G",IF(Tracker!S29&lt;=Tracker!$J29,"A","R"))))</f>
        <v>A</v>
      </c>
      <c r="J29" s="35" t="str">
        <f>IF(OR(Tracker!$A29="",Tracker!T29="",Tracker!$I29="",Tracker!$J29=""),"",IF(Tracker!$H29="Higher",IF(Tracker!T29&gt;=Tracker!$I29,"G",IF(Tracker!T29&gt;=Tracker!$J29,"A","R")),IF(Tracker!T29&lt;=Tracker!$I29,"G",IF(Tracker!T29&lt;=Tracker!$J29,"A","R"))))</f>
        <v>R</v>
      </c>
      <c r="K29" s="35" t="str">
        <f>IF(OR(Tracker!$A29="",Tracker!U29="",Tracker!$I29="",Tracker!$J29=""),"",IF(Tracker!$H29="Higher",IF(Tracker!U29&gt;=Tracker!$I29,"G",IF(Tracker!U29&gt;=Tracker!$J29,"A","R")),IF(Tracker!U29&lt;=Tracker!$I29,"G",IF(Tracker!U29&lt;=Tracker!$J29,"A","R"))))</f>
        <v/>
      </c>
      <c r="L29" s="35" t="str">
        <f>IF(OR(Tracker!$A29="",Tracker!V29="",Tracker!$I29="",Tracker!$J29=""),"",IF(Tracker!$H29="Higher",IF(Tracker!V29&gt;=Tracker!$I29,"G",IF(Tracker!V29&gt;=Tracker!$J29,"A","R")),IF(Tracker!V29&lt;=Tracker!$I29,"G",IF(Tracker!V29&lt;=Tracker!$J29,"A","R"))))</f>
        <v/>
      </c>
      <c r="M29" s="35" t="str">
        <f>IF(OR(Tracker!$A29="",Tracker!W29="",Tracker!$I29="",Tracker!$J29=""),"",IF(Tracker!$H29="Higher",IF(Tracker!W29&gt;=Tracker!$I29,"G",IF(Tracker!W29&gt;=Tracker!$J29,"A","R")),IF(Tracker!W29&lt;=Tracker!$I29,"G",IF(Tracker!W29&lt;=Tracker!$J29,"A","R"))))</f>
        <v/>
      </c>
    </row>
    <row r="30" spans="1:13" x14ac:dyDescent="0.45">
      <c r="A30" s="15" t="str">
        <f>Tracker!A30</f>
        <v/>
      </c>
      <c r="B30" s="35" t="str">
        <f>IF(OR(Tracker!$A30="",Tracker!L30="",Tracker!$I30="",Tracker!$J30=""),"",IF(Tracker!$H30="Higher",IF(Tracker!L30&gt;=Tracker!$I30,"G",IF(Tracker!L30&gt;=Tracker!$J30,"A","R")),IF(Tracker!L30&lt;=Tracker!$I30,"G",IF(Tracker!L30&lt;=Tracker!$J30,"A","R"))))</f>
        <v/>
      </c>
      <c r="C30" s="35" t="str">
        <f>IF(OR(Tracker!$A30="",Tracker!M30="",Tracker!$I30="",Tracker!$J30=""),"",IF(Tracker!$H30="Higher",IF(Tracker!M30&gt;=Tracker!$I30,"G",IF(Tracker!M30&gt;=Tracker!$J30,"A","R")),IF(Tracker!M30&lt;=Tracker!$I30,"G",IF(Tracker!M30&lt;=Tracker!$J30,"A","R"))))</f>
        <v/>
      </c>
      <c r="D30" s="35" t="str">
        <f>IF(OR(Tracker!$A30="",Tracker!N30="",Tracker!$I30="",Tracker!$J30=""),"",IF(Tracker!$H30="Higher",IF(Tracker!N30&gt;=Tracker!$I30,"G",IF(Tracker!N30&gt;=Tracker!$J30,"A","R")),IF(Tracker!N30&lt;=Tracker!$I30,"G",IF(Tracker!N30&lt;=Tracker!$J30,"A","R"))))</f>
        <v/>
      </c>
      <c r="E30" s="35" t="str">
        <f>IF(OR(Tracker!$A30="",Tracker!O30="",Tracker!$I30="",Tracker!$J30=""),"",IF(Tracker!$H30="Higher",IF(Tracker!O30&gt;=Tracker!$I30,"G",IF(Tracker!O30&gt;=Tracker!$J30,"A","R")),IF(Tracker!O30&lt;=Tracker!$I30,"G",IF(Tracker!O30&lt;=Tracker!$J30,"A","R"))))</f>
        <v/>
      </c>
      <c r="F30" s="35" t="str">
        <f>IF(OR(Tracker!$A30="",Tracker!P30="",Tracker!$I30="",Tracker!$J30=""),"",IF(Tracker!$H30="Higher",IF(Tracker!P30&gt;=Tracker!$I30,"G",IF(Tracker!P30&gt;=Tracker!$J30,"A","R")),IF(Tracker!P30&lt;=Tracker!$I30,"G",IF(Tracker!P30&lt;=Tracker!$J30,"A","R"))))</f>
        <v/>
      </c>
      <c r="G30" s="35" t="str">
        <f>IF(OR(Tracker!$A30="",Tracker!Q30="",Tracker!$I30="",Tracker!$J30=""),"",IF(Tracker!$H30="Higher",IF(Tracker!Q30&gt;=Tracker!$I30,"G",IF(Tracker!Q30&gt;=Tracker!$J30,"A","R")),IF(Tracker!Q30&lt;=Tracker!$I30,"G",IF(Tracker!Q30&lt;=Tracker!$J30,"A","R"))))</f>
        <v/>
      </c>
      <c r="H30" s="35" t="str">
        <f>IF(OR(Tracker!$A30="",Tracker!R30="",Tracker!$I30="",Tracker!$J30=""),"",IF(Tracker!$H30="Higher",IF(Tracker!R30&gt;=Tracker!$I30,"G",IF(Tracker!R30&gt;=Tracker!$J30,"A","R")),IF(Tracker!R30&lt;=Tracker!$I30,"G",IF(Tracker!R30&lt;=Tracker!$J30,"A","R"))))</f>
        <v/>
      </c>
      <c r="I30" s="35" t="str">
        <f>IF(OR(Tracker!$A30="",Tracker!S30="",Tracker!$I30="",Tracker!$J30=""),"",IF(Tracker!$H30="Higher",IF(Tracker!S30&gt;=Tracker!$I30,"G",IF(Tracker!S30&gt;=Tracker!$J30,"A","R")),IF(Tracker!S30&lt;=Tracker!$I30,"G",IF(Tracker!S30&lt;=Tracker!$J30,"A","R"))))</f>
        <v/>
      </c>
      <c r="J30" s="35" t="str">
        <f>IF(OR(Tracker!$A30="",Tracker!T30="",Tracker!$I30="",Tracker!$J30=""),"",IF(Tracker!$H30="Higher",IF(Tracker!T30&gt;=Tracker!$I30,"G",IF(Tracker!T30&gt;=Tracker!$J30,"A","R")),IF(Tracker!T30&lt;=Tracker!$I30,"G",IF(Tracker!T30&lt;=Tracker!$J30,"A","R"))))</f>
        <v/>
      </c>
      <c r="K30" s="35" t="str">
        <f>IF(OR(Tracker!$A30="",Tracker!U30="",Tracker!$I30="",Tracker!$J30=""),"",IF(Tracker!$H30="Higher",IF(Tracker!U30&gt;=Tracker!$I30,"G",IF(Tracker!U30&gt;=Tracker!$J30,"A","R")),IF(Tracker!U30&lt;=Tracker!$I30,"G",IF(Tracker!U30&lt;=Tracker!$J30,"A","R"))))</f>
        <v/>
      </c>
      <c r="L30" s="35" t="str">
        <f>IF(OR(Tracker!$A30="",Tracker!V30="",Tracker!$I30="",Tracker!$J30=""),"",IF(Tracker!$H30="Higher",IF(Tracker!V30&gt;=Tracker!$I30,"G",IF(Tracker!V30&gt;=Tracker!$J30,"A","R")),IF(Tracker!V30&lt;=Tracker!$I30,"G",IF(Tracker!V30&lt;=Tracker!$J30,"A","R"))))</f>
        <v/>
      </c>
      <c r="M30" s="35" t="str">
        <f>IF(OR(Tracker!$A30="",Tracker!W30="",Tracker!$I30="",Tracker!$J30=""),"",IF(Tracker!$H30="Higher",IF(Tracker!W30&gt;=Tracker!$I30,"G",IF(Tracker!W30&gt;=Tracker!$J30,"A","R")),IF(Tracker!W30&lt;=Tracker!$I30,"G",IF(Tracker!W30&lt;=Tracker!$J30,"A","R"))))</f>
        <v/>
      </c>
    </row>
    <row r="31" spans="1:13" x14ac:dyDescent="0.45">
      <c r="A31" s="15" t="str">
        <f>Tracker!A31</f>
        <v/>
      </c>
      <c r="B31" s="35" t="str">
        <f>IF(OR(Tracker!$A31="",Tracker!L31="",Tracker!$I31="",Tracker!$J31=""),"",IF(Tracker!$H31="Higher",IF(Tracker!L31&gt;=Tracker!$I31,"G",IF(Tracker!L31&gt;=Tracker!$J31,"A","R")),IF(Tracker!L31&lt;=Tracker!$I31,"G",IF(Tracker!L31&lt;=Tracker!$J31,"A","R"))))</f>
        <v/>
      </c>
      <c r="C31" s="35" t="str">
        <f>IF(OR(Tracker!$A31="",Tracker!M31="",Tracker!$I31="",Tracker!$J31=""),"",IF(Tracker!$H31="Higher",IF(Tracker!M31&gt;=Tracker!$I31,"G",IF(Tracker!M31&gt;=Tracker!$J31,"A","R")),IF(Tracker!M31&lt;=Tracker!$I31,"G",IF(Tracker!M31&lt;=Tracker!$J31,"A","R"))))</f>
        <v/>
      </c>
      <c r="D31" s="35" t="str">
        <f>IF(OR(Tracker!$A31="",Tracker!N31="",Tracker!$I31="",Tracker!$J31=""),"",IF(Tracker!$H31="Higher",IF(Tracker!N31&gt;=Tracker!$I31,"G",IF(Tracker!N31&gt;=Tracker!$J31,"A","R")),IF(Tracker!N31&lt;=Tracker!$I31,"G",IF(Tracker!N31&lt;=Tracker!$J31,"A","R"))))</f>
        <v/>
      </c>
      <c r="E31" s="35" t="str">
        <f>IF(OR(Tracker!$A31="",Tracker!O31="",Tracker!$I31="",Tracker!$J31=""),"",IF(Tracker!$H31="Higher",IF(Tracker!O31&gt;=Tracker!$I31,"G",IF(Tracker!O31&gt;=Tracker!$J31,"A","R")),IF(Tracker!O31&lt;=Tracker!$I31,"G",IF(Tracker!O31&lt;=Tracker!$J31,"A","R"))))</f>
        <v/>
      </c>
      <c r="F31" s="35" t="str">
        <f>IF(OR(Tracker!$A31="",Tracker!P31="",Tracker!$I31="",Tracker!$J31=""),"",IF(Tracker!$H31="Higher",IF(Tracker!P31&gt;=Tracker!$I31,"G",IF(Tracker!P31&gt;=Tracker!$J31,"A","R")),IF(Tracker!P31&lt;=Tracker!$I31,"G",IF(Tracker!P31&lt;=Tracker!$J31,"A","R"))))</f>
        <v/>
      </c>
      <c r="G31" s="35" t="str">
        <f>IF(OR(Tracker!$A31="",Tracker!Q31="",Tracker!$I31="",Tracker!$J31=""),"",IF(Tracker!$H31="Higher",IF(Tracker!Q31&gt;=Tracker!$I31,"G",IF(Tracker!Q31&gt;=Tracker!$J31,"A","R")),IF(Tracker!Q31&lt;=Tracker!$I31,"G",IF(Tracker!Q31&lt;=Tracker!$J31,"A","R"))))</f>
        <v/>
      </c>
      <c r="H31" s="35" t="str">
        <f>IF(OR(Tracker!$A31="",Tracker!R31="",Tracker!$I31="",Tracker!$J31=""),"",IF(Tracker!$H31="Higher",IF(Tracker!R31&gt;=Tracker!$I31,"G",IF(Tracker!R31&gt;=Tracker!$J31,"A","R")),IF(Tracker!R31&lt;=Tracker!$I31,"G",IF(Tracker!R31&lt;=Tracker!$J31,"A","R"))))</f>
        <v/>
      </c>
      <c r="I31" s="35" t="str">
        <f>IF(OR(Tracker!$A31="",Tracker!S31="",Tracker!$I31="",Tracker!$J31=""),"",IF(Tracker!$H31="Higher",IF(Tracker!S31&gt;=Tracker!$I31,"G",IF(Tracker!S31&gt;=Tracker!$J31,"A","R")),IF(Tracker!S31&lt;=Tracker!$I31,"G",IF(Tracker!S31&lt;=Tracker!$J31,"A","R"))))</f>
        <v/>
      </c>
      <c r="J31" s="35" t="str">
        <f>IF(OR(Tracker!$A31="",Tracker!T31="",Tracker!$I31="",Tracker!$J31=""),"",IF(Tracker!$H31="Higher",IF(Tracker!T31&gt;=Tracker!$I31,"G",IF(Tracker!T31&gt;=Tracker!$J31,"A","R")),IF(Tracker!T31&lt;=Tracker!$I31,"G",IF(Tracker!T31&lt;=Tracker!$J31,"A","R"))))</f>
        <v/>
      </c>
      <c r="K31" s="35" t="str">
        <f>IF(OR(Tracker!$A31="",Tracker!U31="",Tracker!$I31="",Tracker!$J31=""),"",IF(Tracker!$H31="Higher",IF(Tracker!U31&gt;=Tracker!$I31,"G",IF(Tracker!U31&gt;=Tracker!$J31,"A","R")),IF(Tracker!U31&lt;=Tracker!$I31,"G",IF(Tracker!U31&lt;=Tracker!$J31,"A","R"))))</f>
        <v/>
      </c>
      <c r="L31" s="35" t="str">
        <f>IF(OR(Tracker!$A31="",Tracker!V31="",Tracker!$I31="",Tracker!$J31=""),"",IF(Tracker!$H31="Higher",IF(Tracker!V31&gt;=Tracker!$I31,"G",IF(Tracker!V31&gt;=Tracker!$J31,"A","R")),IF(Tracker!V31&lt;=Tracker!$I31,"G",IF(Tracker!V31&lt;=Tracker!$J31,"A","R"))))</f>
        <v/>
      </c>
      <c r="M31" s="35" t="str">
        <f>IF(OR(Tracker!$A31="",Tracker!W31="",Tracker!$I31="",Tracker!$J31=""),"",IF(Tracker!$H31="Higher",IF(Tracker!W31&gt;=Tracker!$I31,"G",IF(Tracker!W31&gt;=Tracker!$J31,"A","R")),IF(Tracker!W31&lt;=Tracker!$I31,"G",IF(Tracker!W31&lt;=Tracker!$J31,"A","R"))))</f>
        <v/>
      </c>
    </row>
    <row r="32" spans="1:13" x14ac:dyDescent="0.45">
      <c r="A32" s="15" t="str">
        <f>Tracker!A32</f>
        <v/>
      </c>
      <c r="B32" s="35" t="str">
        <f>IF(OR(Tracker!$A32="",Tracker!L32="",Tracker!$I32="",Tracker!$J32=""),"",IF(Tracker!$H32="Higher",IF(Tracker!L32&gt;=Tracker!$I32,"G",IF(Tracker!L32&gt;=Tracker!$J32,"A","R")),IF(Tracker!L32&lt;=Tracker!$I32,"G",IF(Tracker!L32&lt;=Tracker!$J32,"A","R"))))</f>
        <v/>
      </c>
      <c r="C32" s="35" t="str">
        <f>IF(OR(Tracker!$A32="",Tracker!M32="",Tracker!$I32="",Tracker!$J32=""),"",IF(Tracker!$H32="Higher",IF(Tracker!M32&gt;=Tracker!$I32,"G",IF(Tracker!M32&gt;=Tracker!$J32,"A","R")),IF(Tracker!M32&lt;=Tracker!$I32,"G",IF(Tracker!M32&lt;=Tracker!$J32,"A","R"))))</f>
        <v/>
      </c>
      <c r="D32" s="35" t="str">
        <f>IF(OR(Tracker!$A32="",Tracker!N32="",Tracker!$I32="",Tracker!$J32=""),"",IF(Tracker!$H32="Higher",IF(Tracker!N32&gt;=Tracker!$I32,"G",IF(Tracker!N32&gt;=Tracker!$J32,"A","R")),IF(Tracker!N32&lt;=Tracker!$I32,"G",IF(Tracker!N32&lt;=Tracker!$J32,"A","R"))))</f>
        <v/>
      </c>
      <c r="E32" s="35" t="str">
        <f>IF(OR(Tracker!$A32="",Tracker!O32="",Tracker!$I32="",Tracker!$J32=""),"",IF(Tracker!$H32="Higher",IF(Tracker!O32&gt;=Tracker!$I32,"G",IF(Tracker!O32&gt;=Tracker!$J32,"A","R")),IF(Tracker!O32&lt;=Tracker!$I32,"G",IF(Tracker!O32&lt;=Tracker!$J32,"A","R"))))</f>
        <v/>
      </c>
      <c r="F32" s="35" t="str">
        <f>IF(OR(Tracker!$A32="",Tracker!P32="",Tracker!$I32="",Tracker!$J32=""),"",IF(Tracker!$H32="Higher",IF(Tracker!P32&gt;=Tracker!$I32,"G",IF(Tracker!P32&gt;=Tracker!$J32,"A","R")),IF(Tracker!P32&lt;=Tracker!$I32,"G",IF(Tracker!P32&lt;=Tracker!$J32,"A","R"))))</f>
        <v/>
      </c>
      <c r="G32" s="35" t="str">
        <f>IF(OR(Tracker!$A32="",Tracker!Q32="",Tracker!$I32="",Tracker!$J32=""),"",IF(Tracker!$H32="Higher",IF(Tracker!Q32&gt;=Tracker!$I32,"G",IF(Tracker!Q32&gt;=Tracker!$J32,"A","R")),IF(Tracker!Q32&lt;=Tracker!$I32,"G",IF(Tracker!Q32&lt;=Tracker!$J32,"A","R"))))</f>
        <v/>
      </c>
      <c r="H32" s="35" t="str">
        <f>IF(OR(Tracker!$A32="",Tracker!R32="",Tracker!$I32="",Tracker!$J32=""),"",IF(Tracker!$H32="Higher",IF(Tracker!R32&gt;=Tracker!$I32,"G",IF(Tracker!R32&gt;=Tracker!$J32,"A","R")),IF(Tracker!R32&lt;=Tracker!$I32,"G",IF(Tracker!R32&lt;=Tracker!$J32,"A","R"))))</f>
        <v/>
      </c>
      <c r="I32" s="35" t="str">
        <f>IF(OR(Tracker!$A32="",Tracker!S32="",Tracker!$I32="",Tracker!$J32=""),"",IF(Tracker!$H32="Higher",IF(Tracker!S32&gt;=Tracker!$I32,"G",IF(Tracker!S32&gt;=Tracker!$J32,"A","R")),IF(Tracker!S32&lt;=Tracker!$I32,"G",IF(Tracker!S32&lt;=Tracker!$J32,"A","R"))))</f>
        <v/>
      </c>
      <c r="J32" s="35" t="str">
        <f>IF(OR(Tracker!$A32="",Tracker!T32="",Tracker!$I32="",Tracker!$J32=""),"",IF(Tracker!$H32="Higher",IF(Tracker!T32&gt;=Tracker!$I32,"G",IF(Tracker!T32&gt;=Tracker!$J32,"A","R")),IF(Tracker!T32&lt;=Tracker!$I32,"G",IF(Tracker!T32&lt;=Tracker!$J32,"A","R"))))</f>
        <v/>
      </c>
      <c r="K32" s="35" t="str">
        <f>IF(OR(Tracker!$A32="",Tracker!U32="",Tracker!$I32="",Tracker!$J32=""),"",IF(Tracker!$H32="Higher",IF(Tracker!U32&gt;=Tracker!$I32,"G",IF(Tracker!U32&gt;=Tracker!$J32,"A","R")),IF(Tracker!U32&lt;=Tracker!$I32,"G",IF(Tracker!U32&lt;=Tracker!$J32,"A","R"))))</f>
        <v/>
      </c>
      <c r="L32" s="35" t="str">
        <f>IF(OR(Tracker!$A32="",Tracker!V32="",Tracker!$I32="",Tracker!$J32=""),"",IF(Tracker!$H32="Higher",IF(Tracker!V32&gt;=Tracker!$I32,"G",IF(Tracker!V32&gt;=Tracker!$J32,"A","R")),IF(Tracker!V32&lt;=Tracker!$I32,"G",IF(Tracker!V32&lt;=Tracker!$J32,"A","R"))))</f>
        <v/>
      </c>
      <c r="M32" s="35" t="str">
        <f>IF(OR(Tracker!$A32="",Tracker!W32="",Tracker!$I32="",Tracker!$J32=""),"",IF(Tracker!$H32="Higher",IF(Tracker!W32&gt;=Tracker!$I32,"G",IF(Tracker!W32&gt;=Tracker!$J32,"A","R")),IF(Tracker!W32&lt;=Tracker!$I32,"G",IF(Tracker!W32&lt;=Tracker!$J32,"A","R"))))</f>
        <v/>
      </c>
    </row>
    <row r="33" spans="1:13" x14ac:dyDescent="0.45">
      <c r="A33" s="15" t="str">
        <f>Tracker!A33</f>
        <v/>
      </c>
      <c r="B33" s="35" t="str">
        <f>IF(OR(Tracker!$A33="",Tracker!L33="",Tracker!$I33="",Tracker!$J33=""),"",IF(Tracker!$H33="Higher",IF(Tracker!L33&gt;=Tracker!$I33,"G",IF(Tracker!L33&gt;=Tracker!$J33,"A","R")),IF(Tracker!L33&lt;=Tracker!$I33,"G",IF(Tracker!L33&lt;=Tracker!$J33,"A","R"))))</f>
        <v/>
      </c>
      <c r="C33" s="35" t="str">
        <f>IF(OR(Tracker!$A33="",Tracker!M33="",Tracker!$I33="",Tracker!$J33=""),"",IF(Tracker!$H33="Higher",IF(Tracker!M33&gt;=Tracker!$I33,"G",IF(Tracker!M33&gt;=Tracker!$J33,"A","R")),IF(Tracker!M33&lt;=Tracker!$I33,"G",IF(Tracker!M33&lt;=Tracker!$J33,"A","R"))))</f>
        <v/>
      </c>
      <c r="D33" s="35" t="str">
        <f>IF(OR(Tracker!$A33="",Tracker!N33="",Tracker!$I33="",Tracker!$J33=""),"",IF(Tracker!$H33="Higher",IF(Tracker!N33&gt;=Tracker!$I33,"G",IF(Tracker!N33&gt;=Tracker!$J33,"A","R")),IF(Tracker!N33&lt;=Tracker!$I33,"G",IF(Tracker!N33&lt;=Tracker!$J33,"A","R"))))</f>
        <v/>
      </c>
      <c r="E33" s="35" t="str">
        <f>IF(OR(Tracker!$A33="",Tracker!O33="",Tracker!$I33="",Tracker!$J33=""),"",IF(Tracker!$H33="Higher",IF(Tracker!O33&gt;=Tracker!$I33,"G",IF(Tracker!O33&gt;=Tracker!$J33,"A","R")),IF(Tracker!O33&lt;=Tracker!$I33,"G",IF(Tracker!O33&lt;=Tracker!$J33,"A","R"))))</f>
        <v/>
      </c>
      <c r="F33" s="35" t="str">
        <f>IF(OR(Tracker!$A33="",Tracker!P33="",Tracker!$I33="",Tracker!$J33=""),"",IF(Tracker!$H33="Higher",IF(Tracker!P33&gt;=Tracker!$I33,"G",IF(Tracker!P33&gt;=Tracker!$J33,"A","R")),IF(Tracker!P33&lt;=Tracker!$I33,"G",IF(Tracker!P33&lt;=Tracker!$J33,"A","R"))))</f>
        <v/>
      </c>
      <c r="G33" s="35" t="str">
        <f>IF(OR(Tracker!$A33="",Tracker!Q33="",Tracker!$I33="",Tracker!$J33=""),"",IF(Tracker!$H33="Higher",IF(Tracker!Q33&gt;=Tracker!$I33,"G",IF(Tracker!Q33&gt;=Tracker!$J33,"A","R")),IF(Tracker!Q33&lt;=Tracker!$I33,"G",IF(Tracker!Q33&lt;=Tracker!$J33,"A","R"))))</f>
        <v/>
      </c>
      <c r="H33" s="35" t="str">
        <f>IF(OR(Tracker!$A33="",Tracker!R33="",Tracker!$I33="",Tracker!$J33=""),"",IF(Tracker!$H33="Higher",IF(Tracker!R33&gt;=Tracker!$I33,"G",IF(Tracker!R33&gt;=Tracker!$J33,"A","R")),IF(Tracker!R33&lt;=Tracker!$I33,"G",IF(Tracker!R33&lt;=Tracker!$J33,"A","R"))))</f>
        <v/>
      </c>
      <c r="I33" s="35" t="str">
        <f>IF(OR(Tracker!$A33="",Tracker!S33="",Tracker!$I33="",Tracker!$J33=""),"",IF(Tracker!$H33="Higher",IF(Tracker!S33&gt;=Tracker!$I33,"G",IF(Tracker!S33&gt;=Tracker!$J33,"A","R")),IF(Tracker!S33&lt;=Tracker!$I33,"G",IF(Tracker!S33&lt;=Tracker!$J33,"A","R"))))</f>
        <v/>
      </c>
      <c r="J33" s="35" t="str">
        <f>IF(OR(Tracker!$A33="",Tracker!T33="",Tracker!$I33="",Tracker!$J33=""),"",IF(Tracker!$H33="Higher",IF(Tracker!T33&gt;=Tracker!$I33,"G",IF(Tracker!T33&gt;=Tracker!$J33,"A","R")),IF(Tracker!T33&lt;=Tracker!$I33,"G",IF(Tracker!T33&lt;=Tracker!$J33,"A","R"))))</f>
        <v/>
      </c>
      <c r="K33" s="35" t="str">
        <f>IF(OR(Tracker!$A33="",Tracker!U33="",Tracker!$I33="",Tracker!$J33=""),"",IF(Tracker!$H33="Higher",IF(Tracker!U33&gt;=Tracker!$I33,"G",IF(Tracker!U33&gt;=Tracker!$J33,"A","R")),IF(Tracker!U33&lt;=Tracker!$I33,"G",IF(Tracker!U33&lt;=Tracker!$J33,"A","R"))))</f>
        <v/>
      </c>
      <c r="L33" s="35" t="str">
        <f>IF(OR(Tracker!$A33="",Tracker!V33="",Tracker!$I33="",Tracker!$J33=""),"",IF(Tracker!$H33="Higher",IF(Tracker!V33&gt;=Tracker!$I33,"G",IF(Tracker!V33&gt;=Tracker!$J33,"A","R")),IF(Tracker!V33&lt;=Tracker!$I33,"G",IF(Tracker!V33&lt;=Tracker!$J33,"A","R"))))</f>
        <v/>
      </c>
      <c r="M33" s="35" t="str">
        <f>IF(OR(Tracker!$A33="",Tracker!W33="",Tracker!$I33="",Tracker!$J33=""),"",IF(Tracker!$H33="Higher",IF(Tracker!W33&gt;=Tracker!$I33,"G",IF(Tracker!W33&gt;=Tracker!$J33,"A","R")),IF(Tracker!W33&lt;=Tracker!$I33,"G",IF(Tracker!W33&lt;=Tracker!$J33,"A","R"))))</f>
        <v/>
      </c>
    </row>
    <row r="34" spans="1:13" x14ac:dyDescent="0.45">
      <c r="A34" s="15" t="str">
        <f>Tracker!A34</f>
        <v/>
      </c>
      <c r="B34" s="35" t="str">
        <f>IF(OR(Tracker!$A34="",Tracker!L34="",Tracker!$I34="",Tracker!$J34=""),"",IF(Tracker!$H34="Higher",IF(Tracker!L34&gt;=Tracker!$I34,"G",IF(Tracker!L34&gt;=Tracker!$J34,"A","R")),IF(Tracker!L34&lt;=Tracker!$I34,"G",IF(Tracker!L34&lt;=Tracker!$J34,"A","R"))))</f>
        <v/>
      </c>
      <c r="C34" s="35" t="str">
        <f>IF(OR(Tracker!$A34="",Tracker!M34="",Tracker!$I34="",Tracker!$J34=""),"",IF(Tracker!$H34="Higher",IF(Tracker!M34&gt;=Tracker!$I34,"G",IF(Tracker!M34&gt;=Tracker!$J34,"A","R")),IF(Tracker!M34&lt;=Tracker!$I34,"G",IF(Tracker!M34&lt;=Tracker!$J34,"A","R"))))</f>
        <v/>
      </c>
      <c r="D34" s="35" t="str">
        <f>IF(OR(Tracker!$A34="",Tracker!N34="",Tracker!$I34="",Tracker!$J34=""),"",IF(Tracker!$H34="Higher",IF(Tracker!N34&gt;=Tracker!$I34,"G",IF(Tracker!N34&gt;=Tracker!$J34,"A","R")),IF(Tracker!N34&lt;=Tracker!$I34,"G",IF(Tracker!N34&lt;=Tracker!$J34,"A","R"))))</f>
        <v/>
      </c>
      <c r="E34" s="35" t="str">
        <f>IF(OR(Tracker!$A34="",Tracker!O34="",Tracker!$I34="",Tracker!$J34=""),"",IF(Tracker!$H34="Higher",IF(Tracker!O34&gt;=Tracker!$I34,"G",IF(Tracker!O34&gt;=Tracker!$J34,"A","R")),IF(Tracker!O34&lt;=Tracker!$I34,"G",IF(Tracker!O34&lt;=Tracker!$J34,"A","R"))))</f>
        <v/>
      </c>
      <c r="F34" s="35" t="str">
        <f>IF(OR(Tracker!$A34="",Tracker!P34="",Tracker!$I34="",Tracker!$J34=""),"",IF(Tracker!$H34="Higher",IF(Tracker!P34&gt;=Tracker!$I34,"G",IF(Tracker!P34&gt;=Tracker!$J34,"A","R")),IF(Tracker!P34&lt;=Tracker!$I34,"G",IF(Tracker!P34&lt;=Tracker!$J34,"A","R"))))</f>
        <v/>
      </c>
      <c r="G34" s="35" t="str">
        <f>IF(OR(Tracker!$A34="",Tracker!Q34="",Tracker!$I34="",Tracker!$J34=""),"",IF(Tracker!$H34="Higher",IF(Tracker!Q34&gt;=Tracker!$I34,"G",IF(Tracker!Q34&gt;=Tracker!$J34,"A","R")),IF(Tracker!Q34&lt;=Tracker!$I34,"G",IF(Tracker!Q34&lt;=Tracker!$J34,"A","R"))))</f>
        <v/>
      </c>
      <c r="H34" s="35" t="str">
        <f>IF(OR(Tracker!$A34="",Tracker!R34="",Tracker!$I34="",Tracker!$J34=""),"",IF(Tracker!$H34="Higher",IF(Tracker!R34&gt;=Tracker!$I34,"G",IF(Tracker!R34&gt;=Tracker!$J34,"A","R")),IF(Tracker!R34&lt;=Tracker!$I34,"G",IF(Tracker!R34&lt;=Tracker!$J34,"A","R"))))</f>
        <v/>
      </c>
      <c r="I34" s="35" t="str">
        <f>IF(OR(Tracker!$A34="",Tracker!S34="",Tracker!$I34="",Tracker!$J34=""),"",IF(Tracker!$H34="Higher",IF(Tracker!S34&gt;=Tracker!$I34,"G",IF(Tracker!S34&gt;=Tracker!$J34,"A","R")),IF(Tracker!S34&lt;=Tracker!$I34,"G",IF(Tracker!S34&lt;=Tracker!$J34,"A","R"))))</f>
        <v/>
      </c>
      <c r="J34" s="35" t="str">
        <f>IF(OR(Tracker!$A34="",Tracker!T34="",Tracker!$I34="",Tracker!$J34=""),"",IF(Tracker!$H34="Higher",IF(Tracker!T34&gt;=Tracker!$I34,"G",IF(Tracker!T34&gt;=Tracker!$J34,"A","R")),IF(Tracker!T34&lt;=Tracker!$I34,"G",IF(Tracker!T34&lt;=Tracker!$J34,"A","R"))))</f>
        <v/>
      </c>
      <c r="K34" s="35" t="str">
        <f>IF(OR(Tracker!$A34="",Tracker!U34="",Tracker!$I34="",Tracker!$J34=""),"",IF(Tracker!$H34="Higher",IF(Tracker!U34&gt;=Tracker!$I34,"G",IF(Tracker!U34&gt;=Tracker!$J34,"A","R")),IF(Tracker!U34&lt;=Tracker!$I34,"G",IF(Tracker!U34&lt;=Tracker!$J34,"A","R"))))</f>
        <v/>
      </c>
      <c r="L34" s="35" t="str">
        <f>IF(OR(Tracker!$A34="",Tracker!V34="",Tracker!$I34="",Tracker!$J34=""),"",IF(Tracker!$H34="Higher",IF(Tracker!V34&gt;=Tracker!$I34,"G",IF(Tracker!V34&gt;=Tracker!$J34,"A","R")),IF(Tracker!V34&lt;=Tracker!$I34,"G",IF(Tracker!V34&lt;=Tracker!$J34,"A","R"))))</f>
        <v/>
      </c>
      <c r="M34" s="35" t="str">
        <f>IF(OR(Tracker!$A34="",Tracker!W34="",Tracker!$I34="",Tracker!$J34=""),"",IF(Tracker!$H34="Higher",IF(Tracker!W34&gt;=Tracker!$I34,"G",IF(Tracker!W34&gt;=Tracker!$J34,"A","R")),IF(Tracker!W34&lt;=Tracker!$I34,"G",IF(Tracker!W34&lt;=Tracker!$J34,"A","R"))))</f>
        <v/>
      </c>
    </row>
    <row r="35" spans="1:13" x14ac:dyDescent="0.45">
      <c r="A35" s="15" t="str">
        <f>Tracker!A35</f>
        <v/>
      </c>
      <c r="B35" s="35" t="str">
        <f>IF(OR(Tracker!$A35="",Tracker!L35="",Tracker!$I35="",Tracker!$J35=""),"",IF(Tracker!$H35="Higher",IF(Tracker!L35&gt;=Tracker!$I35,"G",IF(Tracker!L35&gt;=Tracker!$J35,"A","R")),IF(Tracker!L35&lt;=Tracker!$I35,"G",IF(Tracker!L35&lt;=Tracker!$J35,"A","R"))))</f>
        <v/>
      </c>
      <c r="C35" s="35" t="str">
        <f>IF(OR(Tracker!$A35="",Tracker!M35="",Tracker!$I35="",Tracker!$J35=""),"",IF(Tracker!$H35="Higher",IF(Tracker!M35&gt;=Tracker!$I35,"G",IF(Tracker!M35&gt;=Tracker!$J35,"A","R")),IF(Tracker!M35&lt;=Tracker!$I35,"G",IF(Tracker!M35&lt;=Tracker!$J35,"A","R"))))</f>
        <v/>
      </c>
      <c r="D35" s="35" t="str">
        <f>IF(OR(Tracker!$A35="",Tracker!N35="",Tracker!$I35="",Tracker!$J35=""),"",IF(Tracker!$H35="Higher",IF(Tracker!N35&gt;=Tracker!$I35,"G",IF(Tracker!N35&gt;=Tracker!$J35,"A","R")),IF(Tracker!N35&lt;=Tracker!$I35,"G",IF(Tracker!N35&lt;=Tracker!$J35,"A","R"))))</f>
        <v/>
      </c>
      <c r="E35" s="35" t="str">
        <f>IF(OR(Tracker!$A35="",Tracker!O35="",Tracker!$I35="",Tracker!$J35=""),"",IF(Tracker!$H35="Higher",IF(Tracker!O35&gt;=Tracker!$I35,"G",IF(Tracker!O35&gt;=Tracker!$J35,"A","R")),IF(Tracker!O35&lt;=Tracker!$I35,"G",IF(Tracker!O35&lt;=Tracker!$J35,"A","R"))))</f>
        <v/>
      </c>
      <c r="F35" s="35" t="str">
        <f>IF(OR(Tracker!$A35="",Tracker!P35="",Tracker!$I35="",Tracker!$J35=""),"",IF(Tracker!$H35="Higher",IF(Tracker!P35&gt;=Tracker!$I35,"G",IF(Tracker!P35&gt;=Tracker!$J35,"A","R")),IF(Tracker!P35&lt;=Tracker!$I35,"G",IF(Tracker!P35&lt;=Tracker!$J35,"A","R"))))</f>
        <v/>
      </c>
      <c r="G35" s="35" t="str">
        <f>IF(OR(Tracker!$A35="",Tracker!Q35="",Tracker!$I35="",Tracker!$J35=""),"",IF(Tracker!$H35="Higher",IF(Tracker!Q35&gt;=Tracker!$I35,"G",IF(Tracker!Q35&gt;=Tracker!$J35,"A","R")),IF(Tracker!Q35&lt;=Tracker!$I35,"G",IF(Tracker!Q35&lt;=Tracker!$J35,"A","R"))))</f>
        <v/>
      </c>
      <c r="H35" s="35" t="str">
        <f>IF(OR(Tracker!$A35="",Tracker!R35="",Tracker!$I35="",Tracker!$J35=""),"",IF(Tracker!$H35="Higher",IF(Tracker!R35&gt;=Tracker!$I35,"G",IF(Tracker!R35&gt;=Tracker!$J35,"A","R")),IF(Tracker!R35&lt;=Tracker!$I35,"G",IF(Tracker!R35&lt;=Tracker!$J35,"A","R"))))</f>
        <v/>
      </c>
      <c r="I35" s="35" t="str">
        <f>IF(OR(Tracker!$A35="",Tracker!S35="",Tracker!$I35="",Tracker!$J35=""),"",IF(Tracker!$H35="Higher",IF(Tracker!S35&gt;=Tracker!$I35,"G",IF(Tracker!S35&gt;=Tracker!$J35,"A","R")),IF(Tracker!S35&lt;=Tracker!$I35,"G",IF(Tracker!S35&lt;=Tracker!$J35,"A","R"))))</f>
        <v/>
      </c>
      <c r="J35" s="35" t="str">
        <f>IF(OR(Tracker!$A35="",Tracker!T35="",Tracker!$I35="",Tracker!$J35=""),"",IF(Tracker!$H35="Higher",IF(Tracker!T35&gt;=Tracker!$I35,"G",IF(Tracker!T35&gt;=Tracker!$J35,"A","R")),IF(Tracker!T35&lt;=Tracker!$I35,"G",IF(Tracker!T35&lt;=Tracker!$J35,"A","R"))))</f>
        <v/>
      </c>
      <c r="K35" s="35" t="str">
        <f>IF(OR(Tracker!$A35="",Tracker!U35="",Tracker!$I35="",Tracker!$J35=""),"",IF(Tracker!$H35="Higher",IF(Tracker!U35&gt;=Tracker!$I35,"G",IF(Tracker!U35&gt;=Tracker!$J35,"A","R")),IF(Tracker!U35&lt;=Tracker!$I35,"G",IF(Tracker!U35&lt;=Tracker!$J35,"A","R"))))</f>
        <v/>
      </c>
      <c r="L35" s="35" t="str">
        <f>IF(OR(Tracker!$A35="",Tracker!V35="",Tracker!$I35="",Tracker!$J35=""),"",IF(Tracker!$H35="Higher",IF(Tracker!V35&gt;=Tracker!$I35,"G",IF(Tracker!V35&gt;=Tracker!$J35,"A","R")),IF(Tracker!V35&lt;=Tracker!$I35,"G",IF(Tracker!V35&lt;=Tracker!$J35,"A","R"))))</f>
        <v/>
      </c>
      <c r="M35" s="35" t="str">
        <f>IF(OR(Tracker!$A35="",Tracker!W35="",Tracker!$I35="",Tracker!$J35=""),"",IF(Tracker!$H35="Higher",IF(Tracker!W35&gt;=Tracker!$I35,"G",IF(Tracker!W35&gt;=Tracker!$J35,"A","R")),IF(Tracker!W35&lt;=Tracker!$I35,"G",IF(Tracker!W35&lt;=Tracker!$J35,"A","R"))))</f>
        <v/>
      </c>
    </row>
    <row r="36" spans="1:13" x14ac:dyDescent="0.45">
      <c r="A36" s="15" t="str">
        <f>Tracker!A36</f>
        <v/>
      </c>
      <c r="B36" s="35" t="str">
        <f>IF(OR(Tracker!$A36="",Tracker!L36="",Tracker!$I36="",Tracker!$J36=""),"",IF(Tracker!$H36="Higher",IF(Tracker!L36&gt;=Tracker!$I36,"G",IF(Tracker!L36&gt;=Tracker!$J36,"A","R")),IF(Tracker!L36&lt;=Tracker!$I36,"G",IF(Tracker!L36&lt;=Tracker!$J36,"A","R"))))</f>
        <v/>
      </c>
      <c r="C36" s="35" t="str">
        <f>IF(OR(Tracker!$A36="",Tracker!M36="",Tracker!$I36="",Tracker!$J36=""),"",IF(Tracker!$H36="Higher",IF(Tracker!M36&gt;=Tracker!$I36,"G",IF(Tracker!M36&gt;=Tracker!$J36,"A","R")),IF(Tracker!M36&lt;=Tracker!$I36,"G",IF(Tracker!M36&lt;=Tracker!$J36,"A","R"))))</f>
        <v/>
      </c>
      <c r="D36" s="35" t="str">
        <f>IF(OR(Tracker!$A36="",Tracker!N36="",Tracker!$I36="",Tracker!$J36=""),"",IF(Tracker!$H36="Higher",IF(Tracker!N36&gt;=Tracker!$I36,"G",IF(Tracker!N36&gt;=Tracker!$J36,"A","R")),IF(Tracker!N36&lt;=Tracker!$I36,"G",IF(Tracker!N36&lt;=Tracker!$J36,"A","R"))))</f>
        <v/>
      </c>
      <c r="E36" s="35" t="str">
        <f>IF(OR(Tracker!$A36="",Tracker!O36="",Tracker!$I36="",Tracker!$J36=""),"",IF(Tracker!$H36="Higher",IF(Tracker!O36&gt;=Tracker!$I36,"G",IF(Tracker!O36&gt;=Tracker!$J36,"A","R")),IF(Tracker!O36&lt;=Tracker!$I36,"G",IF(Tracker!O36&lt;=Tracker!$J36,"A","R"))))</f>
        <v/>
      </c>
      <c r="F36" s="35" t="str">
        <f>IF(OR(Tracker!$A36="",Tracker!P36="",Tracker!$I36="",Tracker!$J36=""),"",IF(Tracker!$H36="Higher",IF(Tracker!P36&gt;=Tracker!$I36,"G",IF(Tracker!P36&gt;=Tracker!$J36,"A","R")),IF(Tracker!P36&lt;=Tracker!$I36,"G",IF(Tracker!P36&lt;=Tracker!$J36,"A","R"))))</f>
        <v/>
      </c>
      <c r="G36" s="35" t="str">
        <f>IF(OR(Tracker!$A36="",Tracker!Q36="",Tracker!$I36="",Tracker!$J36=""),"",IF(Tracker!$H36="Higher",IF(Tracker!Q36&gt;=Tracker!$I36,"G",IF(Tracker!Q36&gt;=Tracker!$J36,"A","R")),IF(Tracker!Q36&lt;=Tracker!$I36,"G",IF(Tracker!Q36&lt;=Tracker!$J36,"A","R"))))</f>
        <v/>
      </c>
      <c r="H36" s="35" t="str">
        <f>IF(OR(Tracker!$A36="",Tracker!R36="",Tracker!$I36="",Tracker!$J36=""),"",IF(Tracker!$H36="Higher",IF(Tracker!R36&gt;=Tracker!$I36,"G",IF(Tracker!R36&gt;=Tracker!$J36,"A","R")),IF(Tracker!R36&lt;=Tracker!$I36,"G",IF(Tracker!R36&lt;=Tracker!$J36,"A","R"))))</f>
        <v/>
      </c>
      <c r="I36" s="35" t="str">
        <f>IF(OR(Tracker!$A36="",Tracker!S36="",Tracker!$I36="",Tracker!$J36=""),"",IF(Tracker!$H36="Higher",IF(Tracker!S36&gt;=Tracker!$I36,"G",IF(Tracker!S36&gt;=Tracker!$J36,"A","R")),IF(Tracker!S36&lt;=Tracker!$I36,"G",IF(Tracker!S36&lt;=Tracker!$J36,"A","R"))))</f>
        <v/>
      </c>
      <c r="J36" s="35" t="str">
        <f>IF(OR(Tracker!$A36="",Tracker!T36="",Tracker!$I36="",Tracker!$J36=""),"",IF(Tracker!$H36="Higher",IF(Tracker!T36&gt;=Tracker!$I36,"G",IF(Tracker!T36&gt;=Tracker!$J36,"A","R")),IF(Tracker!T36&lt;=Tracker!$I36,"G",IF(Tracker!T36&lt;=Tracker!$J36,"A","R"))))</f>
        <v/>
      </c>
      <c r="K36" s="35" t="str">
        <f>IF(OR(Tracker!$A36="",Tracker!U36="",Tracker!$I36="",Tracker!$J36=""),"",IF(Tracker!$H36="Higher",IF(Tracker!U36&gt;=Tracker!$I36,"G",IF(Tracker!U36&gt;=Tracker!$J36,"A","R")),IF(Tracker!U36&lt;=Tracker!$I36,"G",IF(Tracker!U36&lt;=Tracker!$J36,"A","R"))))</f>
        <v/>
      </c>
      <c r="L36" s="35" t="str">
        <f>IF(OR(Tracker!$A36="",Tracker!V36="",Tracker!$I36="",Tracker!$J36=""),"",IF(Tracker!$H36="Higher",IF(Tracker!V36&gt;=Tracker!$I36,"G",IF(Tracker!V36&gt;=Tracker!$J36,"A","R")),IF(Tracker!V36&lt;=Tracker!$I36,"G",IF(Tracker!V36&lt;=Tracker!$J36,"A","R"))))</f>
        <v/>
      </c>
      <c r="M36" s="35" t="str">
        <f>IF(OR(Tracker!$A36="",Tracker!W36="",Tracker!$I36="",Tracker!$J36=""),"",IF(Tracker!$H36="Higher",IF(Tracker!W36&gt;=Tracker!$I36,"G",IF(Tracker!W36&gt;=Tracker!$J36,"A","R")),IF(Tracker!W36&lt;=Tracker!$I36,"G",IF(Tracker!W36&lt;=Tracker!$J36,"A","R"))))</f>
        <v/>
      </c>
    </row>
    <row r="37" spans="1:13" x14ac:dyDescent="0.45">
      <c r="A37" s="15" t="str">
        <f>Tracker!A37</f>
        <v/>
      </c>
      <c r="B37" s="35" t="str">
        <f>IF(OR(Tracker!$A37="",Tracker!L37="",Tracker!$I37="",Tracker!$J37=""),"",IF(Tracker!$H37="Higher",IF(Tracker!L37&gt;=Tracker!$I37,"G",IF(Tracker!L37&gt;=Tracker!$J37,"A","R")),IF(Tracker!L37&lt;=Tracker!$I37,"G",IF(Tracker!L37&lt;=Tracker!$J37,"A","R"))))</f>
        <v/>
      </c>
      <c r="C37" s="35" t="str">
        <f>IF(OR(Tracker!$A37="",Tracker!M37="",Tracker!$I37="",Tracker!$J37=""),"",IF(Tracker!$H37="Higher",IF(Tracker!M37&gt;=Tracker!$I37,"G",IF(Tracker!M37&gt;=Tracker!$J37,"A","R")),IF(Tracker!M37&lt;=Tracker!$I37,"G",IF(Tracker!M37&lt;=Tracker!$J37,"A","R"))))</f>
        <v/>
      </c>
      <c r="D37" s="35" t="str">
        <f>IF(OR(Tracker!$A37="",Tracker!N37="",Tracker!$I37="",Tracker!$J37=""),"",IF(Tracker!$H37="Higher",IF(Tracker!N37&gt;=Tracker!$I37,"G",IF(Tracker!N37&gt;=Tracker!$J37,"A","R")),IF(Tracker!N37&lt;=Tracker!$I37,"G",IF(Tracker!N37&lt;=Tracker!$J37,"A","R"))))</f>
        <v/>
      </c>
      <c r="E37" s="35" t="str">
        <f>IF(OR(Tracker!$A37="",Tracker!O37="",Tracker!$I37="",Tracker!$J37=""),"",IF(Tracker!$H37="Higher",IF(Tracker!O37&gt;=Tracker!$I37,"G",IF(Tracker!O37&gt;=Tracker!$J37,"A","R")),IF(Tracker!O37&lt;=Tracker!$I37,"G",IF(Tracker!O37&lt;=Tracker!$J37,"A","R"))))</f>
        <v/>
      </c>
      <c r="F37" s="35" t="str">
        <f>IF(OR(Tracker!$A37="",Tracker!P37="",Tracker!$I37="",Tracker!$J37=""),"",IF(Tracker!$H37="Higher",IF(Tracker!P37&gt;=Tracker!$I37,"G",IF(Tracker!P37&gt;=Tracker!$J37,"A","R")),IF(Tracker!P37&lt;=Tracker!$I37,"G",IF(Tracker!P37&lt;=Tracker!$J37,"A","R"))))</f>
        <v/>
      </c>
      <c r="G37" s="35" t="str">
        <f>IF(OR(Tracker!$A37="",Tracker!Q37="",Tracker!$I37="",Tracker!$J37=""),"",IF(Tracker!$H37="Higher",IF(Tracker!Q37&gt;=Tracker!$I37,"G",IF(Tracker!Q37&gt;=Tracker!$J37,"A","R")),IF(Tracker!Q37&lt;=Tracker!$I37,"G",IF(Tracker!Q37&lt;=Tracker!$J37,"A","R"))))</f>
        <v/>
      </c>
      <c r="H37" s="35" t="str">
        <f>IF(OR(Tracker!$A37="",Tracker!R37="",Tracker!$I37="",Tracker!$J37=""),"",IF(Tracker!$H37="Higher",IF(Tracker!R37&gt;=Tracker!$I37,"G",IF(Tracker!R37&gt;=Tracker!$J37,"A","R")),IF(Tracker!R37&lt;=Tracker!$I37,"G",IF(Tracker!R37&lt;=Tracker!$J37,"A","R"))))</f>
        <v/>
      </c>
      <c r="I37" s="35" t="str">
        <f>IF(OR(Tracker!$A37="",Tracker!S37="",Tracker!$I37="",Tracker!$J37=""),"",IF(Tracker!$H37="Higher",IF(Tracker!S37&gt;=Tracker!$I37,"G",IF(Tracker!S37&gt;=Tracker!$J37,"A","R")),IF(Tracker!S37&lt;=Tracker!$I37,"G",IF(Tracker!S37&lt;=Tracker!$J37,"A","R"))))</f>
        <v/>
      </c>
      <c r="J37" s="35" t="str">
        <f>IF(OR(Tracker!$A37="",Tracker!T37="",Tracker!$I37="",Tracker!$J37=""),"",IF(Tracker!$H37="Higher",IF(Tracker!T37&gt;=Tracker!$I37,"G",IF(Tracker!T37&gt;=Tracker!$J37,"A","R")),IF(Tracker!T37&lt;=Tracker!$I37,"G",IF(Tracker!T37&lt;=Tracker!$J37,"A","R"))))</f>
        <v/>
      </c>
      <c r="K37" s="35" t="str">
        <f>IF(OR(Tracker!$A37="",Tracker!U37="",Tracker!$I37="",Tracker!$J37=""),"",IF(Tracker!$H37="Higher",IF(Tracker!U37&gt;=Tracker!$I37,"G",IF(Tracker!U37&gt;=Tracker!$J37,"A","R")),IF(Tracker!U37&lt;=Tracker!$I37,"G",IF(Tracker!U37&lt;=Tracker!$J37,"A","R"))))</f>
        <v/>
      </c>
      <c r="L37" s="35" t="str">
        <f>IF(OR(Tracker!$A37="",Tracker!V37="",Tracker!$I37="",Tracker!$J37=""),"",IF(Tracker!$H37="Higher",IF(Tracker!V37&gt;=Tracker!$I37,"G",IF(Tracker!V37&gt;=Tracker!$J37,"A","R")),IF(Tracker!V37&lt;=Tracker!$I37,"G",IF(Tracker!V37&lt;=Tracker!$J37,"A","R"))))</f>
        <v/>
      </c>
      <c r="M37" s="35" t="str">
        <f>IF(OR(Tracker!$A37="",Tracker!W37="",Tracker!$I37="",Tracker!$J37=""),"",IF(Tracker!$H37="Higher",IF(Tracker!W37&gt;=Tracker!$I37,"G",IF(Tracker!W37&gt;=Tracker!$J37,"A","R")),IF(Tracker!W37&lt;=Tracker!$I37,"G",IF(Tracker!W37&lt;=Tracker!$J37,"A","R"))))</f>
        <v/>
      </c>
    </row>
    <row r="38" spans="1:13" x14ac:dyDescent="0.45">
      <c r="A38" s="15" t="str">
        <f>Tracker!A38</f>
        <v/>
      </c>
      <c r="B38" s="35" t="str">
        <f>IF(OR(Tracker!$A38="",Tracker!L38="",Tracker!$I38="",Tracker!$J38=""),"",IF(Tracker!$H38="Higher",IF(Tracker!L38&gt;=Tracker!$I38,"G",IF(Tracker!L38&gt;=Tracker!$J38,"A","R")),IF(Tracker!L38&lt;=Tracker!$I38,"G",IF(Tracker!L38&lt;=Tracker!$J38,"A","R"))))</f>
        <v/>
      </c>
      <c r="C38" s="35" t="str">
        <f>IF(OR(Tracker!$A38="",Tracker!M38="",Tracker!$I38="",Tracker!$J38=""),"",IF(Tracker!$H38="Higher",IF(Tracker!M38&gt;=Tracker!$I38,"G",IF(Tracker!M38&gt;=Tracker!$J38,"A","R")),IF(Tracker!M38&lt;=Tracker!$I38,"G",IF(Tracker!M38&lt;=Tracker!$J38,"A","R"))))</f>
        <v/>
      </c>
      <c r="D38" s="35" t="str">
        <f>IF(OR(Tracker!$A38="",Tracker!N38="",Tracker!$I38="",Tracker!$J38=""),"",IF(Tracker!$H38="Higher",IF(Tracker!N38&gt;=Tracker!$I38,"G",IF(Tracker!N38&gt;=Tracker!$J38,"A","R")),IF(Tracker!N38&lt;=Tracker!$I38,"G",IF(Tracker!N38&lt;=Tracker!$J38,"A","R"))))</f>
        <v/>
      </c>
      <c r="E38" s="35" t="str">
        <f>IF(OR(Tracker!$A38="",Tracker!O38="",Tracker!$I38="",Tracker!$J38=""),"",IF(Tracker!$H38="Higher",IF(Tracker!O38&gt;=Tracker!$I38,"G",IF(Tracker!O38&gt;=Tracker!$J38,"A","R")),IF(Tracker!O38&lt;=Tracker!$I38,"G",IF(Tracker!O38&lt;=Tracker!$J38,"A","R"))))</f>
        <v/>
      </c>
      <c r="F38" s="35" t="str">
        <f>IF(OR(Tracker!$A38="",Tracker!P38="",Tracker!$I38="",Tracker!$J38=""),"",IF(Tracker!$H38="Higher",IF(Tracker!P38&gt;=Tracker!$I38,"G",IF(Tracker!P38&gt;=Tracker!$J38,"A","R")),IF(Tracker!P38&lt;=Tracker!$I38,"G",IF(Tracker!P38&lt;=Tracker!$J38,"A","R"))))</f>
        <v/>
      </c>
      <c r="G38" s="35" t="str">
        <f>IF(OR(Tracker!$A38="",Tracker!Q38="",Tracker!$I38="",Tracker!$J38=""),"",IF(Tracker!$H38="Higher",IF(Tracker!Q38&gt;=Tracker!$I38,"G",IF(Tracker!Q38&gt;=Tracker!$J38,"A","R")),IF(Tracker!Q38&lt;=Tracker!$I38,"G",IF(Tracker!Q38&lt;=Tracker!$J38,"A","R"))))</f>
        <v/>
      </c>
      <c r="H38" s="35" t="str">
        <f>IF(OR(Tracker!$A38="",Tracker!R38="",Tracker!$I38="",Tracker!$J38=""),"",IF(Tracker!$H38="Higher",IF(Tracker!R38&gt;=Tracker!$I38,"G",IF(Tracker!R38&gt;=Tracker!$J38,"A","R")),IF(Tracker!R38&lt;=Tracker!$I38,"G",IF(Tracker!R38&lt;=Tracker!$J38,"A","R"))))</f>
        <v/>
      </c>
      <c r="I38" s="35" t="str">
        <f>IF(OR(Tracker!$A38="",Tracker!S38="",Tracker!$I38="",Tracker!$J38=""),"",IF(Tracker!$H38="Higher",IF(Tracker!S38&gt;=Tracker!$I38,"G",IF(Tracker!S38&gt;=Tracker!$J38,"A","R")),IF(Tracker!S38&lt;=Tracker!$I38,"G",IF(Tracker!S38&lt;=Tracker!$J38,"A","R"))))</f>
        <v/>
      </c>
      <c r="J38" s="35" t="str">
        <f>IF(OR(Tracker!$A38="",Tracker!T38="",Tracker!$I38="",Tracker!$J38=""),"",IF(Tracker!$H38="Higher",IF(Tracker!T38&gt;=Tracker!$I38,"G",IF(Tracker!T38&gt;=Tracker!$J38,"A","R")),IF(Tracker!T38&lt;=Tracker!$I38,"G",IF(Tracker!T38&lt;=Tracker!$J38,"A","R"))))</f>
        <v/>
      </c>
      <c r="K38" s="35" t="str">
        <f>IF(OR(Tracker!$A38="",Tracker!U38="",Tracker!$I38="",Tracker!$J38=""),"",IF(Tracker!$H38="Higher",IF(Tracker!U38&gt;=Tracker!$I38,"G",IF(Tracker!U38&gt;=Tracker!$J38,"A","R")),IF(Tracker!U38&lt;=Tracker!$I38,"G",IF(Tracker!U38&lt;=Tracker!$J38,"A","R"))))</f>
        <v/>
      </c>
      <c r="L38" s="35" t="str">
        <f>IF(OR(Tracker!$A38="",Tracker!V38="",Tracker!$I38="",Tracker!$J38=""),"",IF(Tracker!$H38="Higher",IF(Tracker!V38&gt;=Tracker!$I38,"G",IF(Tracker!V38&gt;=Tracker!$J38,"A","R")),IF(Tracker!V38&lt;=Tracker!$I38,"G",IF(Tracker!V38&lt;=Tracker!$J38,"A","R"))))</f>
        <v/>
      </c>
      <c r="M38" s="35" t="str">
        <f>IF(OR(Tracker!$A38="",Tracker!W38="",Tracker!$I38="",Tracker!$J38=""),"",IF(Tracker!$H38="Higher",IF(Tracker!W38&gt;=Tracker!$I38,"G",IF(Tracker!W38&gt;=Tracker!$J38,"A","R")),IF(Tracker!W38&lt;=Tracker!$I38,"G",IF(Tracker!W38&lt;=Tracker!$J38,"A","R"))))</f>
        <v/>
      </c>
    </row>
    <row r="39" spans="1:13" x14ac:dyDescent="0.45">
      <c r="A39" s="15" t="str">
        <f>Tracker!A39</f>
        <v/>
      </c>
      <c r="B39" s="35" t="str">
        <f>IF(OR(Tracker!$A39="",Tracker!L39="",Tracker!$I39="",Tracker!$J39=""),"",IF(Tracker!$H39="Higher",IF(Tracker!L39&gt;=Tracker!$I39,"G",IF(Tracker!L39&gt;=Tracker!$J39,"A","R")),IF(Tracker!L39&lt;=Tracker!$I39,"G",IF(Tracker!L39&lt;=Tracker!$J39,"A","R"))))</f>
        <v/>
      </c>
      <c r="C39" s="35" t="str">
        <f>IF(OR(Tracker!$A39="",Tracker!M39="",Tracker!$I39="",Tracker!$J39=""),"",IF(Tracker!$H39="Higher",IF(Tracker!M39&gt;=Tracker!$I39,"G",IF(Tracker!M39&gt;=Tracker!$J39,"A","R")),IF(Tracker!M39&lt;=Tracker!$I39,"G",IF(Tracker!M39&lt;=Tracker!$J39,"A","R"))))</f>
        <v/>
      </c>
      <c r="D39" s="35" t="str">
        <f>IF(OR(Tracker!$A39="",Tracker!N39="",Tracker!$I39="",Tracker!$J39=""),"",IF(Tracker!$H39="Higher",IF(Tracker!N39&gt;=Tracker!$I39,"G",IF(Tracker!N39&gt;=Tracker!$J39,"A","R")),IF(Tracker!N39&lt;=Tracker!$I39,"G",IF(Tracker!N39&lt;=Tracker!$J39,"A","R"))))</f>
        <v/>
      </c>
      <c r="E39" s="35" t="str">
        <f>IF(OR(Tracker!$A39="",Tracker!O39="",Tracker!$I39="",Tracker!$J39=""),"",IF(Tracker!$H39="Higher",IF(Tracker!O39&gt;=Tracker!$I39,"G",IF(Tracker!O39&gt;=Tracker!$J39,"A","R")),IF(Tracker!O39&lt;=Tracker!$I39,"G",IF(Tracker!O39&lt;=Tracker!$J39,"A","R"))))</f>
        <v/>
      </c>
      <c r="F39" s="35" t="str">
        <f>IF(OR(Tracker!$A39="",Tracker!P39="",Tracker!$I39="",Tracker!$J39=""),"",IF(Tracker!$H39="Higher",IF(Tracker!P39&gt;=Tracker!$I39,"G",IF(Tracker!P39&gt;=Tracker!$J39,"A","R")),IF(Tracker!P39&lt;=Tracker!$I39,"G",IF(Tracker!P39&lt;=Tracker!$J39,"A","R"))))</f>
        <v/>
      </c>
      <c r="G39" s="35" t="str">
        <f>IF(OR(Tracker!$A39="",Tracker!Q39="",Tracker!$I39="",Tracker!$J39=""),"",IF(Tracker!$H39="Higher",IF(Tracker!Q39&gt;=Tracker!$I39,"G",IF(Tracker!Q39&gt;=Tracker!$J39,"A","R")),IF(Tracker!Q39&lt;=Tracker!$I39,"G",IF(Tracker!Q39&lt;=Tracker!$J39,"A","R"))))</f>
        <v/>
      </c>
      <c r="H39" s="35" t="str">
        <f>IF(OR(Tracker!$A39="",Tracker!R39="",Tracker!$I39="",Tracker!$J39=""),"",IF(Tracker!$H39="Higher",IF(Tracker!R39&gt;=Tracker!$I39,"G",IF(Tracker!R39&gt;=Tracker!$J39,"A","R")),IF(Tracker!R39&lt;=Tracker!$I39,"G",IF(Tracker!R39&lt;=Tracker!$J39,"A","R"))))</f>
        <v/>
      </c>
      <c r="I39" s="35" t="str">
        <f>IF(OR(Tracker!$A39="",Tracker!S39="",Tracker!$I39="",Tracker!$J39=""),"",IF(Tracker!$H39="Higher",IF(Tracker!S39&gt;=Tracker!$I39,"G",IF(Tracker!S39&gt;=Tracker!$J39,"A","R")),IF(Tracker!S39&lt;=Tracker!$I39,"G",IF(Tracker!S39&lt;=Tracker!$J39,"A","R"))))</f>
        <v/>
      </c>
      <c r="J39" s="35" t="str">
        <f>IF(OR(Tracker!$A39="",Tracker!T39="",Tracker!$I39="",Tracker!$J39=""),"",IF(Tracker!$H39="Higher",IF(Tracker!T39&gt;=Tracker!$I39,"G",IF(Tracker!T39&gt;=Tracker!$J39,"A","R")),IF(Tracker!T39&lt;=Tracker!$I39,"G",IF(Tracker!T39&lt;=Tracker!$J39,"A","R"))))</f>
        <v/>
      </c>
      <c r="K39" s="35" t="str">
        <f>IF(OR(Tracker!$A39="",Tracker!U39="",Tracker!$I39="",Tracker!$J39=""),"",IF(Tracker!$H39="Higher",IF(Tracker!U39&gt;=Tracker!$I39,"G",IF(Tracker!U39&gt;=Tracker!$J39,"A","R")),IF(Tracker!U39&lt;=Tracker!$I39,"G",IF(Tracker!U39&lt;=Tracker!$J39,"A","R"))))</f>
        <v/>
      </c>
      <c r="L39" s="35" t="str">
        <f>IF(OR(Tracker!$A39="",Tracker!V39="",Tracker!$I39="",Tracker!$J39=""),"",IF(Tracker!$H39="Higher",IF(Tracker!V39&gt;=Tracker!$I39,"G",IF(Tracker!V39&gt;=Tracker!$J39,"A","R")),IF(Tracker!V39&lt;=Tracker!$I39,"G",IF(Tracker!V39&lt;=Tracker!$J39,"A","R"))))</f>
        <v/>
      </c>
      <c r="M39" s="35" t="str">
        <f>IF(OR(Tracker!$A39="",Tracker!W39="",Tracker!$I39="",Tracker!$J39=""),"",IF(Tracker!$H39="Higher",IF(Tracker!W39&gt;=Tracker!$I39,"G",IF(Tracker!W39&gt;=Tracker!$J39,"A","R")),IF(Tracker!W39&lt;=Tracker!$I39,"G",IF(Tracker!W39&lt;=Tracker!$J39,"A","R"))))</f>
        <v/>
      </c>
    </row>
    <row r="40" spans="1:13" x14ac:dyDescent="0.45">
      <c r="A40" s="15" t="str">
        <f>Tracker!A40</f>
        <v/>
      </c>
      <c r="B40" s="35" t="str">
        <f>IF(OR(Tracker!$A40="",Tracker!L40="",Tracker!$I40="",Tracker!$J40=""),"",IF(Tracker!$H40="Higher",IF(Tracker!L40&gt;=Tracker!$I40,"G",IF(Tracker!L40&gt;=Tracker!$J40,"A","R")),IF(Tracker!L40&lt;=Tracker!$I40,"G",IF(Tracker!L40&lt;=Tracker!$J40,"A","R"))))</f>
        <v/>
      </c>
      <c r="C40" s="35" t="str">
        <f>IF(OR(Tracker!$A40="",Tracker!M40="",Tracker!$I40="",Tracker!$J40=""),"",IF(Tracker!$H40="Higher",IF(Tracker!M40&gt;=Tracker!$I40,"G",IF(Tracker!M40&gt;=Tracker!$J40,"A","R")),IF(Tracker!M40&lt;=Tracker!$I40,"G",IF(Tracker!M40&lt;=Tracker!$J40,"A","R"))))</f>
        <v/>
      </c>
      <c r="D40" s="35" t="str">
        <f>IF(OR(Tracker!$A40="",Tracker!N40="",Tracker!$I40="",Tracker!$J40=""),"",IF(Tracker!$H40="Higher",IF(Tracker!N40&gt;=Tracker!$I40,"G",IF(Tracker!N40&gt;=Tracker!$J40,"A","R")),IF(Tracker!N40&lt;=Tracker!$I40,"G",IF(Tracker!N40&lt;=Tracker!$J40,"A","R"))))</f>
        <v/>
      </c>
      <c r="E40" s="35" t="str">
        <f>IF(OR(Tracker!$A40="",Tracker!O40="",Tracker!$I40="",Tracker!$J40=""),"",IF(Tracker!$H40="Higher",IF(Tracker!O40&gt;=Tracker!$I40,"G",IF(Tracker!O40&gt;=Tracker!$J40,"A","R")),IF(Tracker!O40&lt;=Tracker!$I40,"G",IF(Tracker!O40&lt;=Tracker!$J40,"A","R"))))</f>
        <v/>
      </c>
      <c r="F40" s="35" t="str">
        <f>IF(OR(Tracker!$A40="",Tracker!P40="",Tracker!$I40="",Tracker!$J40=""),"",IF(Tracker!$H40="Higher",IF(Tracker!P40&gt;=Tracker!$I40,"G",IF(Tracker!P40&gt;=Tracker!$J40,"A","R")),IF(Tracker!P40&lt;=Tracker!$I40,"G",IF(Tracker!P40&lt;=Tracker!$J40,"A","R"))))</f>
        <v/>
      </c>
      <c r="G40" s="35" t="str">
        <f>IF(OR(Tracker!$A40="",Tracker!Q40="",Tracker!$I40="",Tracker!$J40=""),"",IF(Tracker!$H40="Higher",IF(Tracker!Q40&gt;=Tracker!$I40,"G",IF(Tracker!Q40&gt;=Tracker!$J40,"A","R")),IF(Tracker!Q40&lt;=Tracker!$I40,"G",IF(Tracker!Q40&lt;=Tracker!$J40,"A","R"))))</f>
        <v/>
      </c>
      <c r="H40" s="35" t="str">
        <f>IF(OR(Tracker!$A40="",Tracker!R40="",Tracker!$I40="",Tracker!$J40=""),"",IF(Tracker!$H40="Higher",IF(Tracker!R40&gt;=Tracker!$I40,"G",IF(Tracker!R40&gt;=Tracker!$J40,"A","R")),IF(Tracker!R40&lt;=Tracker!$I40,"G",IF(Tracker!R40&lt;=Tracker!$J40,"A","R"))))</f>
        <v/>
      </c>
      <c r="I40" s="35" t="str">
        <f>IF(OR(Tracker!$A40="",Tracker!S40="",Tracker!$I40="",Tracker!$J40=""),"",IF(Tracker!$H40="Higher",IF(Tracker!S40&gt;=Tracker!$I40,"G",IF(Tracker!S40&gt;=Tracker!$J40,"A","R")),IF(Tracker!S40&lt;=Tracker!$I40,"G",IF(Tracker!S40&lt;=Tracker!$J40,"A","R"))))</f>
        <v/>
      </c>
      <c r="J40" s="35" t="str">
        <f>IF(OR(Tracker!$A40="",Tracker!T40="",Tracker!$I40="",Tracker!$J40=""),"",IF(Tracker!$H40="Higher",IF(Tracker!T40&gt;=Tracker!$I40,"G",IF(Tracker!T40&gt;=Tracker!$J40,"A","R")),IF(Tracker!T40&lt;=Tracker!$I40,"G",IF(Tracker!T40&lt;=Tracker!$J40,"A","R"))))</f>
        <v/>
      </c>
      <c r="K40" s="35" t="str">
        <f>IF(OR(Tracker!$A40="",Tracker!U40="",Tracker!$I40="",Tracker!$J40=""),"",IF(Tracker!$H40="Higher",IF(Tracker!U40&gt;=Tracker!$I40,"G",IF(Tracker!U40&gt;=Tracker!$J40,"A","R")),IF(Tracker!U40&lt;=Tracker!$I40,"G",IF(Tracker!U40&lt;=Tracker!$J40,"A","R"))))</f>
        <v/>
      </c>
      <c r="L40" s="35" t="str">
        <f>IF(OR(Tracker!$A40="",Tracker!V40="",Tracker!$I40="",Tracker!$J40=""),"",IF(Tracker!$H40="Higher",IF(Tracker!V40&gt;=Tracker!$I40,"G",IF(Tracker!V40&gt;=Tracker!$J40,"A","R")),IF(Tracker!V40&lt;=Tracker!$I40,"G",IF(Tracker!V40&lt;=Tracker!$J40,"A","R"))))</f>
        <v/>
      </c>
      <c r="M40" s="35" t="str">
        <f>IF(OR(Tracker!$A40="",Tracker!W40="",Tracker!$I40="",Tracker!$J40=""),"",IF(Tracker!$H40="Higher",IF(Tracker!W40&gt;=Tracker!$I40,"G",IF(Tracker!W40&gt;=Tracker!$J40,"A","R")),IF(Tracker!W40&lt;=Tracker!$I40,"G",IF(Tracker!W40&lt;=Tracker!$J40,"A","R"))))</f>
        <v/>
      </c>
    </row>
    <row r="41" spans="1:13" x14ac:dyDescent="0.45">
      <c r="A41" s="15" t="str">
        <f>Tracker!A41</f>
        <v/>
      </c>
      <c r="B41" s="35" t="str">
        <f>IF(OR(Tracker!$A41="",Tracker!L41="",Tracker!$I41="",Tracker!$J41=""),"",IF(Tracker!$H41="Higher",IF(Tracker!L41&gt;=Tracker!$I41,"G",IF(Tracker!L41&gt;=Tracker!$J41,"A","R")),IF(Tracker!L41&lt;=Tracker!$I41,"G",IF(Tracker!L41&lt;=Tracker!$J41,"A","R"))))</f>
        <v/>
      </c>
      <c r="C41" s="35" t="str">
        <f>IF(OR(Tracker!$A41="",Tracker!M41="",Tracker!$I41="",Tracker!$J41=""),"",IF(Tracker!$H41="Higher",IF(Tracker!M41&gt;=Tracker!$I41,"G",IF(Tracker!M41&gt;=Tracker!$J41,"A","R")),IF(Tracker!M41&lt;=Tracker!$I41,"G",IF(Tracker!M41&lt;=Tracker!$J41,"A","R"))))</f>
        <v/>
      </c>
      <c r="D41" s="35" t="str">
        <f>IF(OR(Tracker!$A41="",Tracker!N41="",Tracker!$I41="",Tracker!$J41=""),"",IF(Tracker!$H41="Higher",IF(Tracker!N41&gt;=Tracker!$I41,"G",IF(Tracker!N41&gt;=Tracker!$J41,"A","R")),IF(Tracker!N41&lt;=Tracker!$I41,"G",IF(Tracker!N41&lt;=Tracker!$J41,"A","R"))))</f>
        <v/>
      </c>
      <c r="E41" s="35" t="str">
        <f>IF(OR(Tracker!$A41="",Tracker!O41="",Tracker!$I41="",Tracker!$J41=""),"",IF(Tracker!$H41="Higher",IF(Tracker!O41&gt;=Tracker!$I41,"G",IF(Tracker!O41&gt;=Tracker!$J41,"A","R")),IF(Tracker!O41&lt;=Tracker!$I41,"G",IF(Tracker!O41&lt;=Tracker!$J41,"A","R"))))</f>
        <v/>
      </c>
      <c r="F41" s="35" t="str">
        <f>IF(OR(Tracker!$A41="",Tracker!P41="",Tracker!$I41="",Tracker!$J41=""),"",IF(Tracker!$H41="Higher",IF(Tracker!P41&gt;=Tracker!$I41,"G",IF(Tracker!P41&gt;=Tracker!$J41,"A","R")),IF(Tracker!P41&lt;=Tracker!$I41,"G",IF(Tracker!P41&lt;=Tracker!$J41,"A","R"))))</f>
        <v/>
      </c>
      <c r="G41" s="35" t="str">
        <f>IF(OR(Tracker!$A41="",Tracker!Q41="",Tracker!$I41="",Tracker!$J41=""),"",IF(Tracker!$H41="Higher",IF(Tracker!Q41&gt;=Tracker!$I41,"G",IF(Tracker!Q41&gt;=Tracker!$J41,"A","R")),IF(Tracker!Q41&lt;=Tracker!$I41,"G",IF(Tracker!Q41&lt;=Tracker!$J41,"A","R"))))</f>
        <v/>
      </c>
      <c r="H41" s="35" t="str">
        <f>IF(OR(Tracker!$A41="",Tracker!R41="",Tracker!$I41="",Tracker!$J41=""),"",IF(Tracker!$H41="Higher",IF(Tracker!R41&gt;=Tracker!$I41,"G",IF(Tracker!R41&gt;=Tracker!$J41,"A","R")),IF(Tracker!R41&lt;=Tracker!$I41,"G",IF(Tracker!R41&lt;=Tracker!$J41,"A","R"))))</f>
        <v/>
      </c>
      <c r="I41" s="35" t="str">
        <f>IF(OR(Tracker!$A41="",Tracker!S41="",Tracker!$I41="",Tracker!$J41=""),"",IF(Tracker!$H41="Higher",IF(Tracker!S41&gt;=Tracker!$I41,"G",IF(Tracker!S41&gt;=Tracker!$J41,"A","R")),IF(Tracker!S41&lt;=Tracker!$I41,"G",IF(Tracker!S41&lt;=Tracker!$J41,"A","R"))))</f>
        <v/>
      </c>
      <c r="J41" s="35" t="str">
        <f>IF(OR(Tracker!$A41="",Tracker!T41="",Tracker!$I41="",Tracker!$J41=""),"",IF(Tracker!$H41="Higher",IF(Tracker!T41&gt;=Tracker!$I41,"G",IF(Tracker!T41&gt;=Tracker!$J41,"A","R")),IF(Tracker!T41&lt;=Tracker!$I41,"G",IF(Tracker!T41&lt;=Tracker!$J41,"A","R"))))</f>
        <v/>
      </c>
      <c r="K41" s="35" t="str">
        <f>IF(OR(Tracker!$A41="",Tracker!U41="",Tracker!$I41="",Tracker!$J41=""),"",IF(Tracker!$H41="Higher",IF(Tracker!U41&gt;=Tracker!$I41,"G",IF(Tracker!U41&gt;=Tracker!$J41,"A","R")),IF(Tracker!U41&lt;=Tracker!$I41,"G",IF(Tracker!U41&lt;=Tracker!$J41,"A","R"))))</f>
        <v/>
      </c>
      <c r="L41" s="35" t="str">
        <f>IF(OR(Tracker!$A41="",Tracker!V41="",Tracker!$I41="",Tracker!$J41=""),"",IF(Tracker!$H41="Higher",IF(Tracker!V41&gt;=Tracker!$I41,"G",IF(Tracker!V41&gt;=Tracker!$J41,"A","R")),IF(Tracker!V41&lt;=Tracker!$I41,"G",IF(Tracker!V41&lt;=Tracker!$J41,"A","R"))))</f>
        <v/>
      </c>
      <c r="M41" s="35" t="str">
        <f>IF(OR(Tracker!$A41="",Tracker!W41="",Tracker!$I41="",Tracker!$J41=""),"",IF(Tracker!$H41="Higher",IF(Tracker!W41&gt;=Tracker!$I41,"G",IF(Tracker!W41&gt;=Tracker!$J41,"A","R")),IF(Tracker!W41&lt;=Tracker!$I41,"G",IF(Tracker!W41&lt;=Tracker!$J41,"A","R"))))</f>
        <v/>
      </c>
    </row>
    <row r="42" spans="1:13" x14ac:dyDescent="0.45">
      <c r="A42" s="15" t="str">
        <f>Tracker!A42</f>
        <v/>
      </c>
      <c r="B42" s="35" t="str">
        <f>IF(OR(Tracker!$A42="",Tracker!L42="",Tracker!$I42="",Tracker!$J42=""),"",IF(Tracker!$H42="Higher",IF(Tracker!L42&gt;=Tracker!$I42,"G",IF(Tracker!L42&gt;=Tracker!$J42,"A","R")),IF(Tracker!L42&lt;=Tracker!$I42,"G",IF(Tracker!L42&lt;=Tracker!$J42,"A","R"))))</f>
        <v/>
      </c>
      <c r="C42" s="35" t="str">
        <f>IF(OR(Tracker!$A42="",Tracker!M42="",Tracker!$I42="",Tracker!$J42=""),"",IF(Tracker!$H42="Higher",IF(Tracker!M42&gt;=Tracker!$I42,"G",IF(Tracker!M42&gt;=Tracker!$J42,"A","R")),IF(Tracker!M42&lt;=Tracker!$I42,"G",IF(Tracker!M42&lt;=Tracker!$J42,"A","R"))))</f>
        <v/>
      </c>
      <c r="D42" s="35" t="str">
        <f>IF(OR(Tracker!$A42="",Tracker!N42="",Tracker!$I42="",Tracker!$J42=""),"",IF(Tracker!$H42="Higher",IF(Tracker!N42&gt;=Tracker!$I42,"G",IF(Tracker!N42&gt;=Tracker!$J42,"A","R")),IF(Tracker!N42&lt;=Tracker!$I42,"G",IF(Tracker!N42&lt;=Tracker!$J42,"A","R"))))</f>
        <v/>
      </c>
      <c r="E42" s="35" t="str">
        <f>IF(OR(Tracker!$A42="",Tracker!O42="",Tracker!$I42="",Tracker!$J42=""),"",IF(Tracker!$H42="Higher",IF(Tracker!O42&gt;=Tracker!$I42,"G",IF(Tracker!O42&gt;=Tracker!$J42,"A","R")),IF(Tracker!O42&lt;=Tracker!$I42,"G",IF(Tracker!O42&lt;=Tracker!$J42,"A","R"))))</f>
        <v/>
      </c>
      <c r="F42" s="35" t="str">
        <f>IF(OR(Tracker!$A42="",Tracker!P42="",Tracker!$I42="",Tracker!$J42=""),"",IF(Tracker!$H42="Higher",IF(Tracker!P42&gt;=Tracker!$I42,"G",IF(Tracker!P42&gt;=Tracker!$J42,"A","R")),IF(Tracker!P42&lt;=Tracker!$I42,"G",IF(Tracker!P42&lt;=Tracker!$J42,"A","R"))))</f>
        <v/>
      </c>
      <c r="G42" s="35" t="str">
        <f>IF(OR(Tracker!$A42="",Tracker!Q42="",Tracker!$I42="",Tracker!$J42=""),"",IF(Tracker!$H42="Higher",IF(Tracker!Q42&gt;=Tracker!$I42,"G",IF(Tracker!Q42&gt;=Tracker!$J42,"A","R")),IF(Tracker!Q42&lt;=Tracker!$I42,"G",IF(Tracker!Q42&lt;=Tracker!$J42,"A","R"))))</f>
        <v/>
      </c>
      <c r="H42" s="35" t="str">
        <f>IF(OR(Tracker!$A42="",Tracker!R42="",Tracker!$I42="",Tracker!$J42=""),"",IF(Tracker!$H42="Higher",IF(Tracker!R42&gt;=Tracker!$I42,"G",IF(Tracker!R42&gt;=Tracker!$J42,"A","R")),IF(Tracker!R42&lt;=Tracker!$I42,"G",IF(Tracker!R42&lt;=Tracker!$J42,"A","R"))))</f>
        <v/>
      </c>
      <c r="I42" s="35" t="str">
        <f>IF(OR(Tracker!$A42="",Tracker!S42="",Tracker!$I42="",Tracker!$J42=""),"",IF(Tracker!$H42="Higher",IF(Tracker!S42&gt;=Tracker!$I42,"G",IF(Tracker!S42&gt;=Tracker!$J42,"A","R")),IF(Tracker!S42&lt;=Tracker!$I42,"G",IF(Tracker!S42&lt;=Tracker!$J42,"A","R"))))</f>
        <v/>
      </c>
      <c r="J42" s="35" t="str">
        <f>IF(OR(Tracker!$A42="",Tracker!T42="",Tracker!$I42="",Tracker!$J42=""),"",IF(Tracker!$H42="Higher",IF(Tracker!T42&gt;=Tracker!$I42,"G",IF(Tracker!T42&gt;=Tracker!$J42,"A","R")),IF(Tracker!T42&lt;=Tracker!$I42,"G",IF(Tracker!T42&lt;=Tracker!$J42,"A","R"))))</f>
        <v/>
      </c>
      <c r="K42" s="35" t="str">
        <f>IF(OR(Tracker!$A42="",Tracker!U42="",Tracker!$I42="",Tracker!$J42=""),"",IF(Tracker!$H42="Higher",IF(Tracker!U42&gt;=Tracker!$I42,"G",IF(Tracker!U42&gt;=Tracker!$J42,"A","R")),IF(Tracker!U42&lt;=Tracker!$I42,"G",IF(Tracker!U42&lt;=Tracker!$J42,"A","R"))))</f>
        <v/>
      </c>
      <c r="L42" s="35" t="str">
        <f>IF(OR(Tracker!$A42="",Tracker!V42="",Tracker!$I42="",Tracker!$J42=""),"",IF(Tracker!$H42="Higher",IF(Tracker!V42&gt;=Tracker!$I42,"G",IF(Tracker!V42&gt;=Tracker!$J42,"A","R")),IF(Tracker!V42&lt;=Tracker!$I42,"G",IF(Tracker!V42&lt;=Tracker!$J42,"A","R"))))</f>
        <v/>
      </c>
      <c r="M42" s="35" t="str">
        <f>IF(OR(Tracker!$A42="",Tracker!W42="",Tracker!$I42="",Tracker!$J42=""),"",IF(Tracker!$H42="Higher",IF(Tracker!W42&gt;=Tracker!$I42,"G",IF(Tracker!W42&gt;=Tracker!$J42,"A","R")),IF(Tracker!W42&lt;=Tracker!$I42,"G",IF(Tracker!W42&lt;=Tracker!$J42,"A","R"))))</f>
        <v/>
      </c>
    </row>
    <row r="43" spans="1:13" x14ac:dyDescent="0.45">
      <c r="A43" s="15" t="str">
        <f>Tracker!A43</f>
        <v/>
      </c>
      <c r="B43" s="35" t="str">
        <f>IF(OR(Tracker!$A43="",Tracker!L43="",Tracker!$I43="",Tracker!$J43=""),"",IF(Tracker!$H43="Higher",IF(Tracker!L43&gt;=Tracker!$I43,"G",IF(Tracker!L43&gt;=Tracker!$J43,"A","R")),IF(Tracker!L43&lt;=Tracker!$I43,"G",IF(Tracker!L43&lt;=Tracker!$J43,"A","R"))))</f>
        <v/>
      </c>
      <c r="C43" s="35" t="str">
        <f>IF(OR(Tracker!$A43="",Tracker!M43="",Tracker!$I43="",Tracker!$J43=""),"",IF(Tracker!$H43="Higher",IF(Tracker!M43&gt;=Tracker!$I43,"G",IF(Tracker!M43&gt;=Tracker!$J43,"A","R")),IF(Tracker!M43&lt;=Tracker!$I43,"G",IF(Tracker!M43&lt;=Tracker!$J43,"A","R"))))</f>
        <v/>
      </c>
      <c r="D43" s="35" t="str">
        <f>IF(OR(Tracker!$A43="",Tracker!N43="",Tracker!$I43="",Tracker!$J43=""),"",IF(Tracker!$H43="Higher",IF(Tracker!N43&gt;=Tracker!$I43,"G",IF(Tracker!N43&gt;=Tracker!$J43,"A","R")),IF(Tracker!N43&lt;=Tracker!$I43,"G",IF(Tracker!N43&lt;=Tracker!$J43,"A","R"))))</f>
        <v/>
      </c>
      <c r="E43" s="35" t="str">
        <f>IF(OR(Tracker!$A43="",Tracker!O43="",Tracker!$I43="",Tracker!$J43=""),"",IF(Tracker!$H43="Higher",IF(Tracker!O43&gt;=Tracker!$I43,"G",IF(Tracker!O43&gt;=Tracker!$J43,"A","R")),IF(Tracker!O43&lt;=Tracker!$I43,"G",IF(Tracker!O43&lt;=Tracker!$J43,"A","R"))))</f>
        <v/>
      </c>
      <c r="F43" s="35" t="str">
        <f>IF(OR(Tracker!$A43="",Tracker!P43="",Tracker!$I43="",Tracker!$J43=""),"",IF(Tracker!$H43="Higher",IF(Tracker!P43&gt;=Tracker!$I43,"G",IF(Tracker!P43&gt;=Tracker!$J43,"A","R")),IF(Tracker!P43&lt;=Tracker!$I43,"G",IF(Tracker!P43&lt;=Tracker!$J43,"A","R"))))</f>
        <v/>
      </c>
      <c r="G43" s="35" t="str">
        <f>IF(OR(Tracker!$A43="",Tracker!Q43="",Tracker!$I43="",Tracker!$J43=""),"",IF(Tracker!$H43="Higher",IF(Tracker!Q43&gt;=Tracker!$I43,"G",IF(Tracker!Q43&gt;=Tracker!$J43,"A","R")),IF(Tracker!Q43&lt;=Tracker!$I43,"G",IF(Tracker!Q43&lt;=Tracker!$J43,"A","R"))))</f>
        <v/>
      </c>
      <c r="H43" s="35" t="str">
        <f>IF(OR(Tracker!$A43="",Tracker!R43="",Tracker!$I43="",Tracker!$J43=""),"",IF(Tracker!$H43="Higher",IF(Tracker!R43&gt;=Tracker!$I43,"G",IF(Tracker!R43&gt;=Tracker!$J43,"A","R")),IF(Tracker!R43&lt;=Tracker!$I43,"G",IF(Tracker!R43&lt;=Tracker!$J43,"A","R"))))</f>
        <v/>
      </c>
      <c r="I43" s="35" t="str">
        <f>IF(OR(Tracker!$A43="",Tracker!S43="",Tracker!$I43="",Tracker!$J43=""),"",IF(Tracker!$H43="Higher",IF(Tracker!S43&gt;=Tracker!$I43,"G",IF(Tracker!S43&gt;=Tracker!$J43,"A","R")),IF(Tracker!S43&lt;=Tracker!$I43,"G",IF(Tracker!S43&lt;=Tracker!$J43,"A","R"))))</f>
        <v/>
      </c>
      <c r="J43" s="35" t="str">
        <f>IF(OR(Tracker!$A43="",Tracker!T43="",Tracker!$I43="",Tracker!$J43=""),"",IF(Tracker!$H43="Higher",IF(Tracker!T43&gt;=Tracker!$I43,"G",IF(Tracker!T43&gt;=Tracker!$J43,"A","R")),IF(Tracker!T43&lt;=Tracker!$I43,"G",IF(Tracker!T43&lt;=Tracker!$J43,"A","R"))))</f>
        <v/>
      </c>
      <c r="K43" s="35" t="str">
        <f>IF(OR(Tracker!$A43="",Tracker!U43="",Tracker!$I43="",Tracker!$J43=""),"",IF(Tracker!$H43="Higher",IF(Tracker!U43&gt;=Tracker!$I43,"G",IF(Tracker!U43&gt;=Tracker!$J43,"A","R")),IF(Tracker!U43&lt;=Tracker!$I43,"G",IF(Tracker!U43&lt;=Tracker!$J43,"A","R"))))</f>
        <v/>
      </c>
      <c r="L43" s="35" t="str">
        <f>IF(OR(Tracker!$A43="",Tracker!V43="",Tracker!$I43="",Tracker!$J43=""),"",IF(Tracker!$H43="Higher",IF(Tracker!V43&gt;=Tracker!$I43,"G",IF(Tracker!V43&gt;=Tracker!$J43,"A","R")),IF(Tracker!V43&lt;=Tracker!$I43,"G",IF(Tracker!V43&lt;=Tracker!$J43,"A","R"))))</f>
        <v/>
      </c>
      <c r="M43" s="35" t="str">
        <f>IF(OR(Tracker!$A43="",Tracker!W43="",Tracker!$I43="",Tracker!$J43=""),"",IF(Tracker!$H43="Higher",IF(Tracker!W43&gt;=Tracker!$I43,"G",IF(Tracker!W43&gt;=Tracker!$J43,"A","R")),IF(Tracker!W43&lt;=Tracker!$I43,"G",IF(Tracker!W43&lt;=Tracker!$J43,"A","R"))))</f>
        <v/>
      </c>
    </row>
    <row r="44" spans="1:13" x14ac:dyDescent="0.45">
      <c r="A44" s="15" t="str">
        <f>Tracker!A44</f>
        <v/>
      </c>
      <c r="B44" s="35" t="str">
        <f>IF(OR(Tracker!$A44="",Tracker!L44="",Tracker!$I44="",Tracker!$J44=""),"",IF(Tracker!$H44="Higher",IF(Tracker!L44&gt;=Tracker!$I44,"G",IF(Tracker!L44&gt;=Tracker!$J44,"A","R")),IF(Tracker!L44&lt;=Tracker!$I44,"G",IF(Tracker!L44&lt;=Tracker!$J44,"A","R"))))</f>
        <v/>
      </c>
      <c r="C44" s="35" t="str">
        <f>IF(OR(Tracker!$A44="",Tracker!M44="",Tracker!$I44="",Tracker!$J44=""),"",IF(Tracker!$H44="Higher",IF(Tracker!M44&gt;=Tracker!$I44,"G",IF(Tracker!M44&gt;=Tracker!$J44,"A","R")),IF(Tracker!M44&lt;=Tracker!$I44,"G",IF(Tracker!M44&lt;=Tracker!$J44,"A","R"))))</f>
        <v/>
      </c>
      <c r="D44" s="35" t="str">
        <f>IF(OR(Tracker!$A44="",Tracker!N44="",Tracker!$I44="",Tracker!$J44=""),"",IF(Tracker!$H44="Higher",IF(Tracker!N44&gt;=Tracker!$I44,"G",IF(Tracker!N44&gt;=Tracker!$J44,"A","R")),IF(Tracker!N44&lt;=Tracker!$I44,"G",IF(Tracker!N44&lt;=Tracker!$J44,"A","R"))))</f>
        <v/>
      </c>
      <c r="E44" s="35" t="str">
        <f>IF(OR(Tracker!$A44="",Tracker!O44="",Tracker!$I44="",Tracker!$J44=""),"",IF(Tracker!$H44="Higher",IF(Tracker!O44&gt;=Tracker!$I44,"G",IF(Tracker!O44&gt;=Tracker!$J44,"A","R")),IF(Tracker!O44&lt;=Tracker!$I44,"G",IF(Tracker!O44&lt;=Tracker!$J44,"A","R"))))</f>
        <v/>
      </c>
      <c r="F44" s="35" t="str">
        <f>IF(OR(Tracker!$A44="",Tracker!P44="",Tracker!$I44="",Tracker!$J44=""),"",IF(Tracker!$H44="Higher",IF(Tracker!P44&gt;=Tracker!$I44,"G",IF(Tracker!P44&gt;=Tracker!$J44,"A","R")),IF(Tracker!P44&lt;=Tracker!$I44,"G",IF(Tracker!P44&lt;=Tracker!$J44,"A","R"))))</f>
        <v/>
      </c>
      <c r="G44" s="35" t="str">
        <f>IF(OR(Tracker!$A44="",Tracker!Q44="",Tracker!$I44="",Tracker!$J44=""),"",IF(Tracker!$H44="Higher",IF(Tracker!Q44&gt;=Tracker!$I44,"G",IF(Tracker!Q44&gt;=Tracker!$J44,"A","R")),IF(Tracker!Q44&lt;=Tracker!$I44,"G",IF(Tracker!Q44&lt;=Tracker!$J44,"A","R"))))</f>
        <v/>
      </c>
      <c r="H44" s="35" t="str">
        <f>IF(OR(Tracker!$A44="",Tracker!R44="",Tracker!$I44="",Tracker!$J44=""),"",IF(Tracker!$H44="Higher",IF(Tracker!R44&gt;=Tracker!$I44,"G",IF(Tracker!R44&gt;=Tracker!$J44,"A","R")),IF(Tracker!R44&lt;=Tracker!$I44,"G",IF(Tracker!R44&lt;=Tracker!$J44,"A","R"))))</f>
        <v/>
      </c>
      <c r="I44" s="35" t="str">
        <f>IF(OR(Tracker!$A44="",Tracker!S44="",Tracker!$I44="",Tracker!$J44=""),"",IF(Tracker!$H44="Higher",IF(Tracker!S44&gt;=Tracker!$I44,"G",IF(Tracker!S44&gt;=Tracker!$J44,"A","R")),IF(Tracker!S44&lt;=Tracker!$I44,"G",IF(Tracker!S44&lt;=Tracker!$J44,"A","R"))))</f>
        <v/>
      </c>
      <c r="J44" s="35" t="str">
        <f>IF(OR(Tracker!$A44="",Tracker!T44="",Tracker!$I44="",Tracker!$J44=""),"",IF(Tracker!$H44="Higher",IF(Tracker!T44&gt;=Tracker!$I44,"G",IF(Tracker!T44&gt;=Tracker!$J44,"A","R")),IF(Tracker!T44&lt;=Tracker!$I44,"G",IF(Tracker!T44&lt;=Tracker!$J44,"A","R"))))</f>
        <v/>
      </c>
      <c r="K44" s="35" t="str">
        <f>IF(OR(Tracker!$A44="",Tracker!U44="",Tracker!$I44="",Tracker!$J44=""),"",IF(Tracker!$H44="Higher",IF(Tracker!U44&gt;=Tracker!$I44,"G",IF(Tracker!U44&gt;=Tracker!$J44,"A","R")),IF(Tracker!U44&lt;=Tracker!$I44,"G",IF(Tracker!U44&lt;=Tracker!$J44,"A","R"))))</f>
        <v/>
      </c>
      <c r="L44" s="35" t="str">
        <f>IF(OR(Tracker!$A44="",Tracker!V44="",Tracker!$I44="",Tracker!$J44=""),"",IF(Tracker!$H44="Higher",IF(Tracker!V44&gt;=Tracker!$I44,"G",IF(Tracker!V44&gt;=Tracker!$J44,"A","R")),IF(Tracker!V44&lt;=Tracker!$I44,"G",IF(Tracker!V44&lt;=Tracker!$J44,"A","R"))))</f>
        <v/>
      </c>
      <c r="M44" s="35" t="str">
        <f>IF(OR(Tracker!$A44="",Tracker!W44="",Tracker!$I44="",Tracker!$J44=""),"",IF(Tracker!$H44="Higher",IF(Tracker!W44&gt;=Tracker!$I44,"G",IF(Tracker!W44&gt;=Tracker!$J44,"A","R")),IF(Tracker!W44&lt;=Tracker!$I44,"G",IF(Tracker!W44&lt;=Tracker!$J44,"A","R"))))</f>
        <v/>
      </c>
    </row>
    <row r="45" spans="1:13" x14ac:dyDescent="0.45">
      <c r="A45" s="15" t="str">
        <f>Tracker!A45</f>
        <v/>
      </c>
      <c r="B45" s="35" t="str">
        <f>IF(OR(Tracker!$A45="",Tracker!L45="",Tracker!$I45="",Tracker!$J45=""),"",IF(Tracker!$H45="Higher",IF(Tracker!L45&gt;=Tracker!$I45,"G",IF(Tracker!L45&gt;=Tracker!$J45,"A","R")),IF(Tracker!L45&lt;=Tracker!$I45,"G",IF(Tracker!L45&lt;=Tracker!$J45,"A","R"))))</f>
        <v/>
      </c>
      <c r="C45" s="35" t="str">
        <f>IF(OR(Tracker!$A45="",Tracker!M45="",Tracker!$I45="",Tracker!$J45=""),"",IF(Tracker!$H45="Higher",IF(Tracker!M45&gt;=Tracker!$I45,"G",IF(Tracker!M45&gt;=Tracker!$J45,"A","R")),IF(Tracker!M45&lt;=Tracker!$I45,"G",IF(Tracker!M45&lt;=Tracker!$J45,"A","R"))))</f>
        <v/>
      </c>
      <c r="D45" s="35" t="str">
        <f>IF(OR(Tracker!$A45="",Tracker!N45="",Tracker!$I45="",Tracker!$J45=""),"",IF(Tracker!$H45="Higher",IF(Tracker!N45&gt;=Tracker!$I45,"G",IF(Tracker!N45&gt;=Tracker!$J45,"A","R")),IF(Tracker!N45&lt;=Tracker!$I45,"G",IF(Tracker!N45&lt;=Tracker!$J45,"A","R"))))</f>
        <v/>
      </c>
      <c r="E45" s="35" t="str">
        <f>IF(OR(Tracker!$A45="",Tracker!O45="",Tracker!$I45="",Tracker!$J45=""),"",IF(Tracker!$H45="Higher",IF(Tracker!O45&gt;=Tracker!$I45,"G",IF(Tracker!O45&gt;=Tracker!$J45,"A","R")),IF(Tracker!O45&lt;=Tracker!$I45,"G",IF(Tracker!O45&lt;=Tracker!$J45,"A","R"))))</f>
        <v/>
      </c>
      <c r="F45" s="35" t="str">
        <f>IF(OR(Tracker!$A45="",Tracker!P45="",Tracker!$I45="",Tracker!$J45=""),"",IF(Tracker!$H45="Higher",IF(Tracker!P45&gt;=Tracker!$I45,"G",IF(Tracker!P45&gt;=Tracker!$J45,"A","R")),IF(Tracker!P45&lt;=Tracker!$I45,"G",IF(Tracker!P45&lt;=Tracker!$J45,"A","R"))))</f>
        <v/>
      </c>
      <c r="G45" s="35" t="str">
        <f>IF(OR(Tracker!$A45="",Tracker!Q45="",Tracker!$I45="",Tracker!$J45=""),"",IF(Tracker!$H45="Higher",IF(Tracker!Q45&gt;=Tracker!$I45,"G",IF(Tracker!Q45&gt;=Tracker!$J45,"A","R")),IF(Tracker!Q45&lt;=Tracker!$I45,"G",IF(Tracker!Q45&lt;=Tracker!$J45,"A","R"))))</f>
        <v/>
      </c>
      <c r="H45" s="35" t="str">
        <f>IF(OR(Tracker!$A45="",Tracker!R45="",Tracker!$I45="",Tracker!$J45=""),"",IF(Tracker!$H45="Higher",IF(Tracker!R45&gt;=Tracker!$I45,"G",IF(Tracker!R45&gt;=Tracker!$J45,"A","R")),IF(Tracker!R45&lt;=Tracker!$I45,"G",IF(Tracker!R45&lt;=Tracker!$J45,"A","R"))))</f>
        <v/>
      </c>
      <c r="I45" s="35" t="str">
        <f>IF(OR(Tracker!$A45="",Tracker!S45="",Tracker!$I45="",Tracker!$J45=""),"",IF(Tracker!$H45="Higher",IF(Tracker!S45&gt;=Tracker!$I45,"G",IF(Tracker!S45&gt;=Tracker!$J45,"A","R")),IF(Tracker!S45&lt;=Tracker!$I45,"G",IF(Tracker!S45&lt;=Tracker!$J45,"A","R"))))</f>
        <v/>
      </c>
      <c r="J45" s="35" t="str">
        <f>IF(OR(Tracker!$A45="",Tracker!T45="",Tracker!$I45="",Tracker!$J45=""),"",IF(Tracker!$H45="Higher",IF(Tracker!T45&gt;=Tracker!$I45,"G",IF(Tracker!T45&gt;=Tracker!$J45,"A","R")),IF(Tracker!T45&lt;=Tracker!$I45,"G",IF(Tracker!T45&lt;=Tracker!$J45,"A","R"))))</f>
        <v/>
      </c>
      <c r="K45" s="35" t="str">
        <f>IF(OR(Tracker!$A45="",Tracker!U45="",Tracker!$I45="",Tracker!$J45=""),"",IF(Tracker!$H45="Higher",IF(Tracker!U45&gt;=Tracker!$I45,"G",IF(Tracker!U45&gt;=Tracker!$J45,"A","R")),IF(Tracker!U45&lt;=Tracker!$I45,"G",IF(Tracker!U45&lt;=Tracker!$J45,"A","R"))))</f>
        <v/>
      </c>
      <c r="L45" s="35" t="str">
        <f>IF(OR(Tracker!$A45="",Tracker!V45="",Tracker!$I45="",Tracker!$J45=""),"",IF(Tracker!$H45="Higher",IF(Tracker!V45&gt;=Tracker!$I45,"G",IF(Tracker!V45&gt;=Tracker!$J45,"A","R")),IF(Tracker!V45&lt;=Tracker!$I45,"G",IF(Tracker!V45&lt;=Tracker!$J45,"A","R"))))</f>
        <v/>
      </c>
      <c r="M45" s="35" t="str">
        <f>IF(OR(Tracker!$A45="",Tracker!W45="",Tracker!$I45="",Tracker!$J45=""),"",IF(Tracker!$H45="Higher",IF(Tracker!W45&gt;=Tracker!$I45,"G",IF(Tracker!W45&gt;=Tracker!$J45,"A","R")),IF(Tracker!W45&lt;=Tracker!$I45,"G",IF(Tracker!W45&lt;=Tracker!$J45,"A","R"))))</f>
        <v/>
      </c>
    </row>
    <row r="46" spans="1:13" x14ac:dyDescent="0.45">
      <c r="A46" s="15" t="str">
        <f>Tracker!A46</f>
        <v/>
      </c>
      <c r="B46" s="35" t="str">
        <f>IF(OR(Tracker!$A46="",Tracker!L46="",Tracker!$I46="",Tracker!$J46=""),"",IF(Tracker!$H46="Higher",IF(Tracker!L46&gt;=Tracker!$I46,"G",IF(Tracker!L46&gt;=Tracker!$J46,"A","R")),IF(Tracker!L46&lt;=Tracker!$I46,"G",IF(Tracker!L46&lt;=Tracker!$J46,"A","R"))))</f>
        <v/>
      </c>
      <c r="C46" s="35" t="str">
        <f>IF(OR(Tracker!$A46="",Tracker!M46="",Tracker!$I46="",Tracker!$J46=""),"",IF(Tracker!$H46="Higher",IF(Tracker!M46&gt;=Tracker!$I46,"G",IF(Tracker!M46&gt;=Tracker!$J46,"A","R")),IF(Tracker!M46&lt;=Tracker!$I46,"G",IF(Tracker!M46&lt;=Tracker!$J46,"A","R"))))</f>
        <v/>
      </c>
      <c r="D46" s="35" t="str">
        <f>IF(OR(Tracker!$A46="",Tracker!N46="",Tracker!$I46="",Tracker!$J46=""),"",IF(Tracker!$H46="Higher",IF(Tracker!N46&gt;=Tracker!$I46,"G",IF(Tracker!N46&gt;=Tracker!$J46,"A","R")),IF(Tracker!N46&lt;=Tracker!$I46,"G",IF(Tracker!N46&lt;=Tracker!$J46,"A","R"))))</f>
        <v/>
      </c>
      <c r="E46" s="35" t="str">
        <f>IF(OR(Tracker!$A46="",Tracker!O46="",Tracker!$I46="",Tracker!$J46=""),"",IF(Tracker!$H46="Higher",IF(Tracker!O46&gt;=Tracker!$I46,"G",IF(Tracker!O46&gt;=Tracker!$J46,"A","R")),IF(Tracker!O46&lt;=Tracker!$I46,"G",IF(Tracker!O46&lt;=Tracker!$J46,"A","R"))))</f>
        <v/>
      </c>
      <c r="F46" s="35" t="str">
        <f>IF(OR(Tracker!$A46="",Tracker!P46="",Tracker!$I46="",Tracker!$J46=""),"",IF(Tracker!$H46="Higher",IF(Tracker!P46&gt;=Tracker!$I46,"G",IF(Tracker!P46&gt;=Tracker!$J46,"A","R")),IF(Tracker!P46&lt;=Tracker!$I46,"G",IF(Tracker!P46&lt;=Tracker!$J46,"A","R"))))</f>
        <v/>
      </c>
      <c r="G46" s="35" t="str">
        <f>IF(OR(Tracker!$A46="",Tracker!Q46="",Tracker!$I46="",Tracker!$J46=""),"",IF(Tracker!$H46="Higher",IF(Tracker!Q46&gt;=Tracker!$I46,"G",IF(Tracker!Q46&gt;=Tracker!$J46,"A","R")),IF(Tracker!Q46&lt;=Tracker!$I46,"G",IF(Tracker!Q46&lt;=Tracker!$J46,"A","R"))))</f>
        <v/>
      </c>
      <c r="H46" s="35" t="str">
        <f>IF(OR(Tracker!$A46="",Tracker!R46="",Tracker!$I46="",Tracker!$J46=""),"",IF(Tracker!$H46="Higher",IF(Tracker!R46&gt;=Tracker!$I46,"G",IF(Tracker!R46&gt;=Tracker!$J46,"A","R")),IF(Tracker!R46&lt;=Tracker!$I46,"G",IF(Tracker!R46&lt;=Tracker!$J46,"A","R"))))</f>
        <v/>
      </c>
      <c r="I46" s="35" t="str">
        <f>IF(OR(Tracker!$A46="",Tracker!S46="",Tracker!$I46="",Tracker!$J46=""),"",IF(Tracker!$H46="Higher",IF(Tracker!S46&gt;=Tracker!$I46,"G",IF(Tracker!S46&gt;=Tracker!$J46,"A","R")),IF(Tracker!S46&lt;=Tracker!$I46,"G",IF(Tracker!S46&lt;=Tracker!$J46,"A","R"))))</f>
        <v/>
      </c>
      <c r="J46" s="35" t="str">
        <f>IF(OR(Tracker!$A46="",Tracker!T46="",Tracker!$I46="",Tracker!$J46=""),"",IF(Tracker!$H46="Higher",IF(Tracker!T46&gt;=Tracker!$I46,"G",IF(Tracker!T46&gt;=Tracker!$J46,"A","R")),IF(Tracker!T46&lt;=Tracker!$I46,"G",IF(Tracker!T46&lt;=Tracker!$J46,"A","R"))))</f>
        <v/>
      </c>
      <c r="K46" s="35" t="str">
        <f>IF(OR(Tracker!$A46="",Tracker!U46="",Tracker!$I46="",Tracker!$J46=""),"",IF(Tracker!$H46="Higher",IF(Tracker!U46&gt;=Tracker!$I46,"G",IF(Tracker!U46&gt;=Tracker!$J46,"A","R")),IF(Tracker!U46&lt;=Tracker!$I46,"G",IF(Tracker!U46&lt;=Tracker!$J46,"A","R"))))</f>
        <v/>
      </c>
      <c r="L46" s="35" t="str">
        <f>IF(OR(Tracker!$A46="",Tracker!V46="",Tracker!$I46="",Tracker!$J46=""),"",IF(Tracker!$H46="Higher",IF(Tracker!V46&gt;=Tracker!$I46,"G",IF(Tracker!V46&gt;=Tracker!$J46,"A","R")),IF(Tracker!V46&lt;=Tracker!$I46,"G",IF(Tracker!V46&lt;=Tracker!$J46,"A","R"))))</f>
        <v/>
      </c>
      <c r="M46" s="35" t="str">
        <f>IF(OR(Tracker!$A46="",Tracker!W46="",Tracker!$I46="",Tracker!$J46=""),"",IF(Tracker!$H46="Higher",IF(Tracker!W46&gt;=Tracker!$I46,"G",IF(Tracker!W46&gt;=Tracker!$J46,"A","R")),IF(Tracker!W46&lt;=Tracker!$I46,"G",IF(Tracker!W46&lt;=Tracker!$J46,"A","R"))))</f>
        <v/>
      </c>
    </row>
    <row r="47" spans="1:13" x14ac:dyDescent="0.45">
      <c r="A47" s="15" t="str">
        <f>Tracker!A47</f>
        <v/>
      </c>
      <c r="B47" s="35" t="str">
        <f>IF(OR(Tracker!$A47="",Tracker!L47="",Tracker!$I47="",Tracker!$J47=""),"",IF(Tracker!$H47="Higher",IF(Tracker!L47&gt;=Tracker!$I47,"G",IF(Tracker!L47&gt;=Tracker!$J47,"A","R")),IF(Tracker!L47&lt;=Tracker!$I47,"G",IF(Tracker!L47&lt;=Tracker!$J47,"A","R"))))</f>
        <v/>
      </c>
      <c r="C47" s="35" t="str">
        <f>IF(OR(Tracker!$A47="",Tracker!M47="",Tracker!$I47="",Tracker!$J47=""),"",IF(Tracker!$H47="Higher",IF(Tracker!M47&gt;=Tracker!$I47,"G",IF(Tracker!M47&gt;=Tracker!$J47,"A","R")),IF(Tracker!M47&lt;=Tracker!$I47,"G",IF(Tracker!M47&lt;=Tracker!$J47,"A","R"))))</f>
        <v/>
      </c>
      <c r="D47" s="35" t="str">
        <f>IF(OR(Tracker!$A47="",Tracker!N47="",Tracker!$I47="",Tracker!$J47=""),"",IF(Tracker!$H47="Higher",IF(Tracker!N47&gt;=Tracker!$I47,"G",IF(Tracker!N47&gt;=Tracker!$J47,"A","R")),IF(Tracker!N47&lt;=Tracker!$I47,"G",IF(Tracker!N47&lt;=Tracker!$J47,"A","R"))))</f>
        <v/>
      </c>
      <c r="E47" s="35" t="str">
        <f>IF(OR(Tracker!$A47="",Tracker!O47="",Tracker!$I47="",Tracker!$J47=""),"",IF(Tracker!$H47="Higher",IF(Tracker!O47&gt;=Tracker!$I47,"G",IF(Tracker!O47&gt;=Tracker!$J47,"A","R")),IF(Tracker!O47&lt;=Tracker!$I47,"G",IF(Tracker!O47&lt;=Tracker!$J47,"A","R"))))</f>
        <v/>
      </c>
      <c r="F47" s="35" t="str">
        <f>IF(OR(Tracker!$A47="",Tracker!P47="",Tracker!$I47="",Tracker!$J47=""),"",IF(Tracker!$H47="Higher",IF(Tracker!P47&gt;=Tracker!$I47,"G",IF(Tracker!P47&gt;=Tracker!$J47,"A","R")),IF(Tracker!P47&lt;=Tracker!$I47,"G",IF(Tracker!P47&lt;=Tracker!$J47,"A","R"))))</f>
        <v/>
      </c>
      <c r="G47" s="35" t="str">
        <f>IF(OR(Tracker!$A47="",Tracker!Q47="",Tracker!$I47="",Tracker!$J47=""),"",IF(Tracker!$H47="Higher",IF(Tracker!Q47&gt;=Tracker!$I47,"G",IF(Tracker!Q47&gt;=Tracker!$J47,"A","R")),IF(Tracker!Q47&lt;=Tracker!$I47,"G",IF(Tracker!Q47&lt;=Tracker!$J47,"A","R"))))</f>
        <v/>
      </c>
      <c r="H47" s="35" t="str">
        <f>IF(OR(Tracker!$A47="",Tracker!R47="",Tracker!$I47="",Tracker!$J47=""),"",IF(Tracker!$H47="Higher",IF(Tracker!R47&gt;=Tracker!$I47,"G",IF(Tracker!R47&gt;=Tracker!$J47,"A","R")),IF(Tracker!R47&lt;=Tracker!$I47,"G",IF(Tracker!R47&lt;=Tracker!$J47,"A","R"))))</f>
        <v/>
      </c>
      <c r="I47" s="35" t="str">
        <f>IF(OR(Tracker!$A47="",Tracker!S47="",Tracker!$I47="",Tracker!$J47=""),"",IF(Tracker!$H47="Higher",IF(Tracker!S47&gt;=Tracker!$I47,"G",IF(Tracker!S47&gt;=Tracker!$J47,"A","R")),IF(Tracker!S47&lt;=Tracker!$I47,"G",IF(Tracker!S47&lt;=Tracker!$J47,"A","R"))))</f>
        <v/>
      </c>
      <c r="J47" s="35" t="str">
        <f>IF(OR(Tracker!$A47="",Tracker!T47="",Tracker!$I47="",Tracker!$J47=""),"",IF(Tracker!$H47="Higher",IF(Tracker!T47&gt;=Tracker!$I47,"G",IF(Tracker!T47&gt;=Tracker!$J47,"A","R")),IF(Tracker!T47&lt;=Tracker!$I47,"G",IF(Tracker!T47&lt;=Tracker!$J47,"A","R"))))</f>
        <v/>
      </c>
      <c r="K47" s="35" t="str">
        <f>IF(OR(Tracker!$A47="",Tracker!U47="",Tracker!$I47="",Tracker!$J47=""),"",IF(Tracker!$H47="Higher",IF(Tracker!U47&gt;=Tracker!$I47,"G",IF(Tracker!U47&gt;=Tracker!$J47,"A","R")),IF(Tracker!U47&lt;=Tracker!$I47,"G",IF(Tracker!U47&lt;=Tracker!$J47,"A","R"))))</f>
        <v/>
      </c>
      <c r="L47" s="35" t="str">
        <f>IF(OR(Tracker!$A47="",Tracker!V47="",Tracker!$I47="",Tracker!$J47=""),"",IF(Tracker!$H47="Higher",IF(Tracker!V47&gt;=Tracker!$I47,"G",IF(Tracker!V47&gt;=Tracker!$J47,"A","R")),IF(Tracker!V47&lt;=Tracker!$I47,"G",IF(Tracker!V47&lt;=Tracker!$J47,"A","R"))))</f>
        <v/>
      </c>
      <c r="M47" s="35" t="str">
        <f>IF(OR(Tracker!$A47="",Tracker!W47="",Tracker!$I47="",Tracker!$J47=""),"",IF(Tracker!$H47="Higher",IF(Tracker!W47&gt;=Tracker!$I47,"G",IF(Tracker!W47&gt;=Tracker!$J47,"A","R")),IF(Tracker!W47&lt;=Tracker!$I47,"G",IF(Tracker!W47&lt;=Tracker!$J47,"A","R"))))</f>
        <v/>
      </c>
    </row>
    <row r="48" spans="1:13" x14ac:dyDescent="0.45">
      <c r="A48" s="15" t="str">
        <f>Tracker!A48</f>
        <v/>
      </c>
      <c r="B48" s="35" t="str">
        <f>IF(OR(Tracker!$A48="",Tracker!L48="",Tracker!$I48="",Tracker!$J48=""),"",IF(Tracker!$H48="Higher",IF(Tracker!L48&gt;=Tracker!$I48,"G",IF(Tracker!L48&gt;=Tracker!$J48,"A","R")),IF(Tracker!L48&lt;=Tracker!$I48,"G",IF(Tracker!L48&lt;=Tracker!$J48,"A","R"))))</f>
        <v/>
      </c>
      <c r="C48" s="35" t="str">
        <f>IF(OR(Tracker!$A48="",Tracker!M48="",Tracker!$I48="",Tracker!$J48=""),"",IF(Tracker!$H48="Higher",IF(Tracker!M48&gt;=Tracker!$I48,"G",IF(Tracker!M48&gt;=Tracker!$J48,"A","R")),IF(Tracker!M48&lt;=Tracker!$I48,"G",IF(Tracker!M48&lt;=Tracker!$J48,"A","R"))))</f>
        <v/>
      </c>
      <c r="D48" s="35" t="str">
        <f>IF(OR(Tracker!$A48="",Tracker!N48="",Tracker!$I48="",Tracker!$J48=""),"",IF(Tracker!$H48="Higher",IF(Tracker!N48&gt;=Tracker!$I48,"G",IF(Tracker!N48&gt;=Tracker!$J48,"A","R")),IF(Tracker!N48&lt;=Tracker!$I48,"G",IF(Tracker!N48&lt;=Tracker!$J48,"A","R"))))</f>
        <v/>
      </c>
      <c r="E48" s="35" t="str">
        <f>IF(OR(Tracker!$A48="",Tracker!O48="",Tracker!$I48="",Tracker!$J48=""),"",IF(Tracker!$H48="Higher",IF(Tracker!O48&gt;=Tracker!$I48,"G",IF(Tracker!O48&gt;=Tracker!$J48,"A","R")),IF(Tracker!O48&lt;=Tracker!$I48,"G",IF(Tracker!O48&lt;=Tracker!$J48,"A","R"))))</f>
        <v/>
      </c>
      <c r="F48" s="35" t="str">
        <f>IF(OR(Tracker!$A48="",Tracker!P48="",Tracker!$I48="",Tracker!$J48=""),"",IF(Tracker!$H48="Higher",IF(Tracker!P48&gt;=Tracker!$I48,"G",IF(Tracker!P48&gt;=Tracker!$J48,"A","R")),IF(Tracker!P48&lt;=Tracker!$I48,"G",IF(Tracker!P48&lt;=Tracker!$J48,"A","R"))))</f>
        <v/>
      </c>
      <c r="G48" s="35" t="str">
        <f>IF(OR(Tracker!$A48="",Tracker!Q48="",Tracker!$I48="",Tracker!$J48=""),"",IF(Tracker!$H48="Higher",IF(Tracker!Q48&gt;=Tracker!$I48,"G",IF(Tracker!Q48&gt;=Tracker!$J48,"A","R")),IF(Tracker!Q48&lt;=Tracker!$I48,"G",IF(Tracker!Q48&lt;=Tracker!$J48,"A","R"))))</f>
        <v/>
      </c>
      <c r="H48" s="35" t="str">
        <f>IF(OR(Tracker!$A48="",Tracker!R48="",Tracker!$I48="",Tracker!$J48=""),"",IF(Tracker!$H48="Higher",IF(Tracker!R48&gt;=Tracker!$I48,"G",IF(Tracker!R48&gt;=Tracker!$J48,"A","R")),IF(Tracker!R48&lt;=Tracker!$I48,"G",IF(Tracker!R48&lt;=Tracker!$J48,"A","R"))))</f>
        <v/>
      </c>
      <c r="I48" s="35" t="str">
        <f>IF(OR(Tracker!$A48="",Tracker!S48="",Tracker!$I48="",Tracker!$J48=""),"",IF(Tracker!$H48="Higher",IF(Tracker!S48&gt;=Tracker!$I48,"G",IF(Tracker!S48&gt;=Tracker!$J48,"A","R")),IF(Tracker!S48&lt;=Tracker!$I48,"G",IF(Tracker!S48&lt;=Tracker!$J48,"A","R"))))</f>
        <v/>
      </c>
      <c r="J48" s="35" t="str">
        <f>IF(OR(Tracker!$A48="",Tracker!T48="",Tracker!$I48="",Tracker!$J48=""),"",IF(Tracker!$H48="Higher",IF(Tracker!T48&gt;=Tracker!$I48,"G",IF(Tracker!T48&gt;=Tracker!$J48,"A","R")),IF(Tracker!T48&lt;=Tracker!$I48,"G",IF(Tracker!T48&lt;=Tracker!$J48,"A","R"))))</f>
        <v/>
      </c>
      <c r="K48" s="35" t="str">
        <f>IF(OR(Tracker!$A48="",Tracker!U48="",Tracker!$I48="",Tracker!$J48=""),"",IF(Tracker!$H48="Higher",IF(Tracker!U48&gt;=Tracker!$I48,"G",IF(Tracker!U48&gt;=Tracker!$J48,"A","R")),IF(Tracker!U48&lt;=Tracker!$I48,"G",IF(Tracker!U48&lt;=Tracker!$J48,"A","R"))))</f>
        <v/>
      </c>
      <c r="L48" s="35" t="str">
        <f>IF(OR(Tracker!$A48="",Tracker!V48="",Tracker!$I48="",Tracker!$J48=""),"",IF(Tracker!$H48="Higher",IF(Tracker!V48&gt;=Tracker!$I48,"G",IF(Tracker!V48&gt;=Tracker!$J48,"A","R")),IF(Tracker!V48&lt;=Tracker!$I48,"G",IF(Tracker!V48&lt;=Tracker!$J48,"A","R"))))</f>
        <v/>
      </c>
      <c r="M48" s="35" t="str">
        <f>IF(OR(Tracker!$A48="",Tracker!W48="",Tracker!$I48="",Tracker!$J48=""),"",IF(Tracker!$H48="Higher",IF(Tracker!W48&gt;=Tracker!$I48,"G",IF(Tracker!W48&gt;=Tracker!$J48,"A","R")),IF(Tracker!W48&lt;=Tracker!$I48,"G",IF(Tracker!W48&lt;=Tracker!$J48,"A","R"))))</f>
        <v/>
      </c>
    </row>
    <row r="49" spans="1:13" x14ac:dyDescent="0.45">
      <c r="A49" s="15" t="str">
        <f>Tracker!A49</f>
        <v/>
      </c>
      <c r="B49" s="35" t="str">
        <f>IF(OR(Tracker!$A49="",Tracker!L49="",Tracker!$I49="",Tracker!$J49=""),"",IF(Tracker!$H49="Higher",IF(Tracker!L49&gt;=Tracker!$I49,"G",IF(Tracker!L49&gt;=Tracker!$J49,"A","R")),IF(Tracker!L49&lt;=Tracker!$I49,"G",IF(Tracker!L49&lt;=Tracker!$J49,"A","R"))))</f>
        <v/>
      </c>
      <c r="C49" s="35" t="str">
        <f>IF(OR(Tracker!$A49="",Tracker!M49="",Tracker!$I49="",Tracker!$J49=""),"",IF(Tracker!$H49="Higher",IF(Tracker!M49&gt;=Tracker!$I49,"G",IF(Tracker!M49&gt;=Tracker!$J49,"A","R")),IF(Tracker!M49&lt;=Tracker!$I49,"G",IF(Tracker!M49&lt;=Tracker!$J49,"A","R"))))</f>
        <v/>
      </c>
      <c r="D49" s="35" t="str">
        <f>IF(OR(Tracker!$A49="",Tracker!N49="",Tracker!$I49="",Tracker!$J49=""),"",IF(Tracker!$H49="Higher",IF(Tracker!N49&gt;=Tracker!$I49,"G",IF(Tracker!N49&gt;=Tracker!$J49,"A","R")),IF(Tracker!N49&lt;=Tracker!$I49,"G",IF(Tracker!N49&lt;=Tracker!$J49,"A","R"))))</f>
        <v/>
      </c>
      <c r="E49" s="35" t="str">
        <f>IF(OR(Tracker!$A49="",Tracker!O49="",Tracker!$I49="",Tracker!$J49=""),"",IF(Tracker!$H49="Higher",IF(Tracker!O49&gt;=Tracker!$I49,"G",IF(Tracker!O49&gt;=Tracker!$J49,"A","R")),IF(Tracker!O49&lt;=Tracker!$I49,"G",IF(Tracker!O49&lt;=Tracker!$J49,"A","R"))))</f>
        <v/>
      </c>
      <c r="F49" s="35" t="str">
        <f>IF(OR(Tracker!$A49="",Tracker!P49="",Tracker!$I49="",Tracker!$J49=""),"",IF(Tracker!$H49="Higher",IF(Tracker!P49&gt;=Tracker!$I49,"G",IF(Tracker!P49&gt;=Tracker!$J49,"A","R")),IF(Tracker!P49&lt;=Tracker!$I49,"G",IF(Tracker!P49&lt;=Tracker!$J49,"A","R"))))</f>
        <v/>
      </c>
      <c r="G49" s="35" t="str">
        <f>IF(OR(Tracker!$A49="",Tracker!Q49="",Tracker!$I49="",Tracker!$J49=""),"",IF(Tracker!$H49="Higher",IF(Tracker!Q49&gt;=Tracker!$I49,"G",IF(Tracker!Q49&gt;=Tracker!$J49,"A","R")),IF(Tracker!Q49&lt;=Tracker!$I49,"G",IF(Tracker!Q49&lt;=Tracker!$J49,"A","R"))))</f>
        <v/>
      </c>
      <c r="H49" s="35" t="str">
        <f>IF(OR(Tracker!$A49="",Tracker!R49="",Tracker!$I49="",Tracker!$J49=""),"",IF(Tracker!$H49="Higher",IF(Tracker!R49&gt;=Tracker!$I49,"G",IF(Tracker!R49&gt;=Tracker!$J49,"A","R")),IF(Tracker!R49&lt;=Tracker!$I49,"G",IF(Tracker!R49&lt;=Tracker!$J49,"A","R"))))</f>
        <v/>
      </c>
      <c r="I49" s="35" t="str">
        <f>IF(OR(Tracker!$A49="",Tracker!S49="",Tracker!$I49="",Tracker!$J49=""),"",IF(Tracker!$H49="Higher",IF(Tracker!S49&gt;=Tracker!$I49,"G",IF(Tracker!S49&gt;=Tracker!$J49,"A","R")),IF(Tracker!S49&lt;=Tracker!$I49,"G",IF(Tracker!S49&lt;=Tracker!$J49,"A","R"))))</f>
        <v/>
      </c>
      <c r="J49" s="35" t="str">
        <f>IF(OR(Tracker!$A49="",Tracker!T49="",Tracker!$I49="",Tracker!$J49=""),"",IF(Tracker!$H49="Higher",IF(Tracker!T49&gt;=Tracker!$I49,"G",IF(Tracker!T49&gt;=Tracker!$J49,"A","R")),IF(Tracker!T49&lt;=Tracker!$I49,"G",IF(Tracker!T49&lt;=Tracker!$J49,"A","R"))))</f>
        <v/>
      </c>
      <c r="K49" s="35" t="str">
        <f>IF(OR(Tracker!$A49="",Tracker!U49="",Tracker!$I49="",Tracker!$J49=""),"",IF(Tracker!$H49="Higher",IF(Tracker!U49&gt;=Tracker!$I49,"G",IF(Tracker!U49&gt;=Tracker!$J49,"A","R")),IF(Tracker!U49&lt;=Tracker!$I49,"G",IF(Tracker!U49&lt;=Tracker!$J49,"A","R"))))</f>
        <v/>
      </c>
      <c r="L49" s="35" t="str">
        <f>IF(OR(Tracker!$A49="",Tracker!V49="",Tracker!$I49="",Tracker!$J49=""),"",IF(Tracker!$H49="Higher",IF(Tracker!V49&gt;=Tracker!$I49,"G",IF(Tracker!V49&gt;=Tracker!$J49,"A","R")),IF(Tracker!V49&lt;=Tracker!$I49,"G",IF(Tracker!V49&lt;=Tracker!$J49,"A","R"))))</f>
        <v/>
      </c>
      <c r="M49" s="35" t="str">
        <f>IF(OR(Tracker!$A49="",Tracker!W49="",Tracker!$I49="",Tracker!$J49=""),"",IF(Tracker!$H49="Higher",IF(Tracker!W49&gt;=Tracker!$I49,"G",IF(Tracker!W49&gt;=Tracker!$J49,"A","R")),IF(Tracker!W49&lt;=Tracker!$I49,"G",IF(Tracker!W49&lt;=Tracker!$J49,"A","R"))))</f>
        <v/>
      </c>
    </row>
    <row r="50" spans="1:13" x14ac:dyDescent="0.45">
      <c r="A50" s="15" t="str">
        <f>Tracker!A50</f>
        <v/>
      </c>
      <c r="B50" s="35" t="str">
        <f>IF(OR(Tracker!$A50="",Tracker!L50="",Tracker!$I50="",Tracker!$J50=""),"",IF(Tracker!$H50="Higher",IF(Tracker!L50&gt;=Tracker!$I50,"G",IF(Tracker!L50&gt;=Tracker!$J50,"A","R")),IF(Tracker!L50&lt;=Tracker!$I50,"G",IF(Tracker!L50&lt;=Tracker!$J50,"A","R"))))</f>
        <v/>
      </c>
      <c r="C50" s="35" t="str">
        <f>IF(OR(Tracker!$A50="",Tracker!M50="",Tracker!$I50="",Tracker!$J50=""),"",IF(Tracker!$H50="Higher",IF(Tracker!M50&gt;=Tracker!$I50,"G",IF(Tracker!M50&gt;=Tracker!$J50,"A","R")),IF(Tracker!M50&lt;=Tracker!$I50,"G",IF(Tracker!M50&lt;=Tracker!$J50,"A","R"))))</f>
        <v/>
      </c>
      <c r="D50" s="35" t="str">
        <f>IF(OR(Tracker!$A50="",Tracker!N50="",Tracker!$I50="",Tracker!$J50=""),"",IF(Tracker!$H50="Higher",IF(Tracker!N50&gt;=Tracker!$I50,"G",IF(Tracker!N50&gt;=Tracker!$J50,"A","R")),IF(Tracker!N50&lt;=Tracker!$I50,"G",IF(Tracker!N50&lt;=Tracker!$J50,"A","R"))))</f>
        <v/>
      </c>
      <c r="E50" s="35" t="str">
        <f>IF(OR(Tracker!$A50="",Tracker!O50="",Tracker!$I50="",Tracker!$J50=""),"",IF(Tracker!$H50="Higher",IF(Tracker!O50&gt;=Tracker!$I50,"G",IF(Tracker!O50&gt;=Tracker!$J50,"A","R")),IF(Tracker!O50&lt;=Tracker!$I50,"G",IF(Tracker!O50&lt;=Tracker!$J50,"A","R"))))</f>
        <v/>
      </c>
      <c r="F50" s="35" t="str">
        <f>IF(OR(Tracker!$A50="",Tracker!P50="",Tracker!$I50="",Tracker!$J50=""),"",IF(Tracker!$H50="Higher",IF(Tracker!P50&gt;=Tracker!$I50,"G",IF(Tracker!P50&gt;=Tracker!$J50,"A","R")),IF(Tracker!P50&lt;=Tracker!$I50,"G",IF(Tracker!P50&lt;=Tracker!$J50,"A","R"))))</f>
        <v/>
      </c>
      <c r="G50" s="35" t="str">
        <f>IF(OR(Tracker!$A50="",Tracker!Q50="",Tracker!$I50="",Tracker!$J50=""),"",IF(Tracker!$H50="Higher",IF(Tracker!Q50&gt;=Tracker!$I50,"G",IF(Tracker!Q50&gt;=Tracker!$J50,"A","R")),IF(Tracker!Q50&lt;=Tracker!$I50,"G",IF(Tracker!Q50&lt;=Tracker!$J50,"A","R"))))</f>
        <v/>
      </c>
      <c r="H50" s="35" t="str">
        <f>IF(OR(Tracker!$A50="",Tracker!R50="",Tracker!$I50="",Tracker!$J50=""),"",IF(Tracker!$H50="Higher",IF(Tracker!R50&gt;=Tracker!$I50,"G",IF(Tracker!R50&gt;=Tracker!$J50,"A","R")),IF(Tracker!R50&lt;=Tracker!$I50,"G",IF(Tracker!R50&lt;=Tracker!$J50,"A","R"))))</f>
        <v/>
      </c>
      <c r="I50" s="35" t="str">
        <f>IF(OR(Tracker!$A50="",Tracker!S50="",Tracker!$I50="",Tracker!$J50=""),"",IF(Tracker!$H50="Higher",IF(Tracker!S50&gt;=Tracker!$I50,"G",IF(Tracker!S50&gt;=Tracker!$J50,"A","R")),IF(Tracker!S50&lt;=Tracker!$I50,"G",IF(Tracker!S50&lt;=Tracker!$J50,"A","R"))))</f>
        <v/>
      </c>
      <c r="J50" s="35" t="str">
        <f>IF(OR(Tracker!$A50="",Tracker!T50="",Tracker!$I50="",Tracker!$J50=""),"",IF(Tracker!$H50="Higher",IF(Tracker!T50&gt;=Tracker!$I50,"G",IF(Tracker!T50&gt;=Tracker!$J50,"A","R")),IF(Tracker!T50&lt;=Tracker!$I50,"G",IF(Tracker!T50&lt;=Tracker!$J50,"A","R"))))</f>
        <v/>
      </c>
      <c r="K50" s="35" t="str">
        <f>IF(OR(Tracker!$A50="",Tracker!U50="",Tracker!$I50="",Tracker!$J50=""),"",IF(Tracker!$H50="Higher",IF(Tracker!U50&gt;=Tracker!$I50,"G",IF(Tracker!U50&gt;=Tracker!$J50,"A","R")),IF(Tracker!U50&lt;=Tracker!$I50,"G",IF(Tracker!U50&lt;=Tracker!$J50,"A","R"))))</f>
        <v/>
      </c>
      <c r="L50" s="35" t="str">
        <f>IF(OR(Tracker!$A50="",Tracker!V50="",Tracker!$I50="",Tracker!$J50=""),"",IF(Tracker!$H50="Higher",IF(Tracker!V50&gt;=Tracker!$I50,"G",IF(Tracker!V50&gt;=Tracker!$J50,"A","R")),IF(Tracker!V50&lt;=Tracker!$I50,"G",IF(Tracker!V50&lt;=Tracker!$J50,"A","R"))))</f>
        <v/>
      </c>
      <c r="M50" s="35" t="str">
        <f>IF(OR(Tracker!$A50="",Tracker!W50="",Tracker!$I50="",Tracker!$J50=""),"",IF(Tracker!$H50="Higher",IF(Tracker!W50&gt;=Tracker!$I50,"G",IF(Tracker!W50&gt;=Tracker!$J50,"A","R")),IF(Tracker!W50&lt;=Tracker!$I50,"G",IF(Tracker!W50&lt;=Tracker!$J50,"A","R"))))</f>
        <v/>
      </c>
    </row>
    <row r="51" spans="1:13" x14ac:dyDescent="0.45">
      <c r="A51" s="15" t="str">
        <f>Tracker!A51</f>
        <v/>
      </c>
      <c r="B51" s="35" t="str">
        <f>IF(OR(Tracker!$A51="",Tracker!L51="",Tracker!$I51="",Tracker!$J51=""),"",IF(Tracker!$H51="Higher",IF(Tracker!L51&gt;=Tracker!$I51,"G",IF(Tracker!L51&gt;=Tracker!$J51,"A","R")),IF(Tracker!L51&lt;=Tracker!$I51,"G",IF(Tracker!L51&lt;=Tracker!$J51,"A","R"))))</f>
        <v/>
      </c>
      <c r="C51" s="35" t="str">
        <f>IF(OR(Tracker!$A51="",Tracker!M51="",Tracker!$I51="",Tracker!$J51=""),"",IF(Tracker!$H51="Higher",IF(Tracker!M51&gt;=Tracker!$I51,"G",IF(Tracker!M51&gt;=Tracker!$J51,"A","R")),IF(Tracker!M51&lt;=Tracker!$I51,"G",IF(Tracker!M51&lt;=Tracker!$J51,"A","R"))))</f>
        <v/>
      </c>
      <c r="D51" s="35" t="str">
        <f>IF(OR(Tracker!$A51="",Tracker!N51="",Tracker!$I51="",Tracker!$J51=""),"",IF(Tracker!$H51="Higher",IF(Tracker!N51&gt;=Tracker!$I51,"G",IF(Tracker!N51&gt;=Tracker!$J51,"A","R")),IF(Tracker!N51&lt;=Tracker!$I51,"G",IF(Tracker!N51&lt;=Tracker!$J51,"A","R"))))</f>
        <v/>
      </c>
      <c r="E51" s="35" t="str">
        <f>IF(OR(Tracker!$A51="",Tracker!O51="",Tracker!$I51="",Tracker!$J51=""),"",IF(Tracker!$H51="Higher",IF(Tracker!O51&gt;=Tracker!$I51,"G",IF(Tracker!O51&gt;=Tracker!$J51,"A","R")),IF(Tracker!O51&lt;=Tracker!$I51,"G",IF(Tracker!O51&lt;=Tracker!$J51,"A","R"))))</f>
        <v/>
      </c>
      <c r="F51" s="35" t="str">
        <f>IF(OR(Tracker!$A51="",Tracker!P51="",Tracker!$I51="",Tracker!$J51=""),"",IF(Tracker!$H51="Higher",IF(Tracker!P51&gt;=Tracker!$I51,"G",IF(Tracker!P51&gt;=Tracker!$J51,"A","R")),IF(Tracker!P51&lt;=Tracker!$I51,"G",IF(Tracker!P51&lt;=Tracker!$J51,"A","R"))))</f>
        <v/>
      </c>
      <c r="G51" s="35" t="str">
        <f>IF(OR(Tracker!$A51="",Tracker!Q51="",Tracker!$I51="",Tracker!$J51=""),"",IF(Tracker!$H51="Higher",IF(Tracker!Q51&gt;=Tracker!$I51,"G",IF(Tracker!Q51&gt;=Tracker!$J51,"A","R")),IF(Tracker!Q51&lt;=Tracker!$I51,"G",IF(Tracker!Q51&lt;=Tracker!$J51,"A","R"))))</f>
        <v/>
      </c>
      <c r="H51" s="35" t="str">
        <f>IF(OR(Tracker!$A51="",Tracker!R51="",Tracker!$I51="",Tracker!$J51=""),"",IF(Tracker!$H51="Higher",IF(Tracker!R51&gt;=Tracker!$I51,"G",IF(Tracker!R51&gt;=Tracker!$J51,"A","R")),IF(Tracker!R51&lt;=Tracker!$I51,"G",IF(Tracker!R51&lt;=Tracker!$J51,"A","R"))))</f>
        <v/>
      </c>
      <c r="I51" s="35" t="str">
        <f>IF(OR(Tracker!$A51="",Tracker!S51="",Tracker!$I51="",Tracker!$J51=""),"",IF(Tracker!$H51="Higher",IF(Tracker!S51&gt;=Tracker!$I51,"G",IF(Tracker!S51&gt;=Tracker!$J51,"A","R")),IF(Tracker!S51&lt;=Tracker!$I51,"G",IF(Tracker!S51&lt;=Tracker!$J51,"A","R"))))</f>
        <v/>
      </c>
      <c r="J51" s="35" t="str">
        <f>IF(OR(Tracker!$A51="",Tracker!T51="",Tracker!$I51="",Tracker!$J51=""),"",IF(Tracker!$H51="Higher",IF(Tracker!T51&gt;=Tracker!$I51,"G",IF(Tracker!T51&gt;=Tracker!$J51,"A","R")),IF(Tracker!T51&lt;=Tracker!$I51,"G",IF(Tracker!T51&lt;=Tracker!$J51,"A","R"))))</f>
        <v/>
      </c>
      <c r="K51" s="35" t="str">
        <f>IF(OR(Tracker!$A51="",Tracker!U51="",Tracker!$I51="",Tracker!$J51=""),"",IF(Tracker!$H51="Higher",IF(Tracker!U51&gt;=Tracker!$I51,"G",IF(Tracker!U51&gt;=Tracker!$J51,"A","R")),IF(Tracker!U51&lt;=Tracker!$I51,"G",IF(Tracker!U51&lt;=Tracker!$J51,"A","R"))))</f>
        <v/>
      </c>
      <c r="L51" s="35" t="str">
        <f>IF(OR(Tracker!$A51="",Tracker!V51="",Tracker!$I51="",Tracker!$J51=""),"",IF(Tracker!$H51="Higher",IF(Tracker!V51&gt;=Tracker!$I51,"G",IF(Tracker!V51&gt;=Tracker!$J51,"A","R")),IF(Tracker!V51&lt;=Tracker!$I51,"G",IF(Tracker!V51&lt;=Tracker!$J51,"A","R"))))</f>
        <v/>
      </c>
      <c r="M51" s="35" t="str">
        <f>IF(OR(Tracker!$A51="",Tracker!W51="",Tracker!$I51="",Tracker!$J51=""),"",IF(Tracker!$H51="Higher",IF(Tracker!W51&gt;=Tracker!$I51,"G",IF(Tracker!W51&gt;=Tracker!$J51,"A","R")),IF(Tracker!W51&lt;=Tracker!$I51,"G",IF(Tracker!W51&lt;=Tracker!$J51,"A","R"))))</f>
        <v/>
      </c>
    </row>
    <row r="52" spans="1:13" x14ac:dyDescent="0.45">
      <c r="A52" s="15" t="str">
        <f>Tracker!A52</f>
        <v/>
      </c>
      <c r="B52" s="35" t="str">
        <f>IF(OR(Tracker!$A52="",Tracker!L52="",Tracker!$I52="",Tracker!$J52=""),"",IF(Tracker!$H52="Higher",IF(Tracker!L52&gt;=Tracker!$I52,"G",IF(Tracker!L52&gt;=Tracker!$J52,"A","R")),IF(Tracker!L52&lt;=Tracker!$I52,"G",IF(Tracker!L52&lt;=Tracker!$J52,"A","R"))))</f>
        <v/>
      </c>
      <c r="C52" s="35" t="str">
        <f>IF(OR(Tracker!$A52="",Tracker!M52="",Tracker!$I52="",Tracker!$J52=""),"",IF(Tracker!$H52="Higher",IF(Tracker!M52&gt;=Tracker!$I52,"G",IF(Tracker!M52&gt;=Tracker!$J52,"A","R")),IF(Tracker!M52&lt;=Tracker!$I52,"G",IF(Tracker!M52&lt;=Tracker!$J52,"A","R"))))</f>
        <v/>
      </c>
      <c r="D52" s="35" t="str">
        <f>IF(OR(Tracker!$A52="",Tracker!N52="",Tracker!$I52="",Tracker!$J52=""),"",IF(Tracker!$H52="Higher",IF(Tracker!N52&gt;=Tracker!$I52,"G",IF(Tracker!N52&gt;=Tracker!$J52,"A","R")),IF(Tracker!N52&lt;=Tracker!$I52,"G",IF(Tracker!N52&lt;=Tracker!$J52,"A","R"))))</f>
        <v/>
      </c>
      <c r="E52" s="35" t="str">
        <f>IF(OR(Tracker!$A52="",Tracker!O52="",Tracker!$I52="",Tracker!$J52=""),"",IF(Tracker!$H52="Higher",IF(Tracker!O52&gt;=Tracker!$I52,"G",IF(Tracker!O52&gt;=Tracker!$J52,"A","R")),IF(Tracker!O52&lt;=Tracker!$I52,"G",IF(Tracker!O52&lt;=Tracker!$J52,"A","R"))))</f>
        <v/>
      </c>
      <c r="F52" s="35" t="str">
        <f>IF(OR(Tracker!$A52="",Tracker!P52="",Tracker!$I52="",Tracker!$J52=""),"",IF(Tracker!$H52="Higher",IF(Tracker!P52&gt;=Tracker!$I52,"G",IF(Tracker!P52&gt;=Tracker!$J52,"A","R")),IF(Tracker!P52&lt;=Tracker!$I52,"G",IF(Tracker!P52&lt;=Tracker!$J52,"A","R"))))</f>
        <v/>
      </c>
      <c r="G52" s="35" t="str">
        <f>IF(OR(Tracker!$A52="",Tracker!Q52="",Tracker!$I52="",Tracker!$J52=""),"",IF(Tracker!$H52="Higher",IF(Tracker!Q52&gt;=Tracker!$I52,"G",IF(Tracker!Q52&gt;=Tracker!$J52,"A","R")),IF(Tracker!Q52&lt;=Tracker!$I52,"G",IF(Tracker!Q52&lt;=Tracker!$J52,"A","R"))))</f>
        <v/>
      </c>
      <c r="H52" s="35" t="str">
        <f>IF(OR(Tracker!$A52="",Tracker!R52="",Tracker!$I52="",Tracker!$J52=""),"",IF(Tracker!$H52="Higher",IF(Tracker!R52&gt;=Tracker!$I52,"G",IF(Tracker!R52&gt;=Tracker!$J52,"A","R")),IF(Tracker!R52&lt;=Tracker!$I52,"G",IF(Tracker!R52&lt;=Tracker!$J52,"A","R"))))</f>
        <v/>
      </c>
      <c r="I52" s="35" t="str">
        <f>IF(OR(Tracker!$A52="",Tracker!S52="",Tracker!$I52="",Tracker!$J52=""),"",IF(Tracker!$H52="Higher",IF(Tracker!S52&gt;=Tracker!$I52,"G",IF(Tracker!S52&gt;=Tracker!$J52,"A","R")),IF(Tracker!S52&lt;=Tracker!$I52,"G",IF(Tracker!S52&lt;=Tracker!$J52,"A","R"))))</f>
        <v/>
      </c>
      <c r="J52" s="35" t="str">
        <f>IF(OR(Tracker!$A52="",Tracker!T52="",Tracker!$I52="",Tracker!$J52=""),"",IF(Tracker!$H52="Higher",IF(Tracker!T52&gt;=Tracker!$I52,"G",IF(Tracker!T52&gt;=Tracker!$J52,"A","R")),IF(Tracker!T52&lt;=Tracker!$I52,"G",IF(Tracker!T52&lt;=Tracker!$J52,"A","R"))))</f>
        <v/>
      </c>
      <c r="K52" s="35" t="str">
        <f>IF(OR(Tracker!$A52="",Tracker!U52="",Tracker!$I52="",Tracker!$J52=""),"",IF(Tracker!$H52="Higher",IF(Tracker!U52&gt;=Tracker!$I52,"G",IF(Tracker!U52&gt;=Tracker!$J52,"A","R")),IF(Tracker!U52&lt;=Tracker!$I52,"G",IF(Tracker!U52&lt;=Tracker!$J52,"A","R"))))</f>
        <v/>
      </c>
      <c r="L52" s="35" t="str">
        <f>IF(OR(Tracker!$A52="",Tracker!V52="",Tracker!$I52="",Tracker!$J52=""),"",IF(Tracker!$H52="Higher",IF(Tracker!V52&gt;=Tracker!$I52,"G",IF(Tracker!V52&gt;=Tracker!$J52,"A","R")),IF(Tracker!V52&lt;=Tracker!$I52,"G",IF(Tracker!V52&lt;=Tracker!$J52,"A","R"))))</f>
        <v/>
      </c>
      <c r="M52" s="35" t="str">
        <f>IF(OR(Tracker!$A52="",Tracker!W52="",Tracker!$I52="",Tracker!$J52=""),"",IF(Tracker!$H52="Higher",IF(Tracker!W52&gt;=Tracker!$I52,"G",IF(Tracker!W52&gt;=Tracker!$J52,"A","R")),IF(Tracker!W52&lt;=Tracker!$I52,"G",IF(Tracker!W52&lt;=Tracker!$J52,"A","R"))))</f>
        <v/>
      </c>
    </row>
    <row r="53" spans="1:13" x14ac:dyDescent="0.45">
      <c r="A53" s="15" t="str">
        <f>Tracker!A53</f>
        <v/>
      </c>
      <c r="B53" s="35" t="str">
        <f>IF(OR(Tracker!$A53="",Tracker!L53="",Tracker!$I53="",Tracker!$J53=""),"",IF(Tracker!$H53="Higher",IF(Tracker!L53&gt;=Tracker!$I53,"G",IF(Tracker!L53&gt;=Tracker!$J53,"A","R")),IF(Tracker!L53&lt;=Tracker!$I53,"G",IF(Tracker!L53&lt;=Tracker!$J53,"A","R"))))</f>
        <v/>
      </c>
      <c r="C53" s="35" t="str">
        <f>IF(OR(Tracker!$A53="",Tracker!M53="",Tracker!$I53="",Tracker!$J53=""),"",IF(Tracker!$H53="Higher",IF(Tracker!M53&gt;=Tracker!$I53,"G",IF(Tracker!M53&gt;=Tracker!$J53,"A","R")),IF(Tracker!M53&lt;=Tracker!$I53,"G",IF(Tracker!M53&lt;=Tracker!$J53,"A","R"))))</f>
        <v/>
      </c>
      <c r="D53" s="35" t="str">
        <f>IF(OR(Tracker!$A53="",Tracker!N53="",Tracker!$I53="",Tracker!$J53=""),"",IF(Tracker!$H53="Higher",IF(Tracker!N53&gt;=Tracker!$I53,"G",IF(Tracker!N53&gt;=Tracker!$J53,"A","R")),IF(Tracker!N53&lt;=Tracker!$I53,"G",IF(Tracker!N53&lt;=Tracker!$J53,"A","R"))))</f>
        <v/>
      </c>
      <c r="E53" s="35" t="str">
        <f>IF(OR(Tracker!$A53="",Tracker!O53="",Tracker!$I53="",Tracker!$J53=""),"",IF(Tracker!$H53="Higher",IF(Tracker!O53&gt;=Tracker!$I53,"G",IF(Tracker!O53&gt;=Tracker!$J53,"A","R")),IF(Tracker!O53&lt;=Tracker!$I53,"G",IF(Tracker!O53&lt;=Tracker!$J53,"A","R"))))</f>
        <v/>
      </c>
      <c r="F53" s="35" t="str">
        <f>IF(OR(Tracker!$A53="",Tracker!P53="",Tracker!$I53="",Tracker!$J53=""),"",IF(Tracker!$H53="Higher",IF(Tracker!P53&gt;=Tracker!$I53,"G",IF(Tracker!P53&gt;=Tracker!$J53,"A","R")),IF(Tracker!P53&lt;=Tracker!$I53,"G",IF(Tracker!P53&lt;=Tracker!$J53,"A","R"))))</f>
        <v/>
      </c>
      <c r="G53" s="35" t="str">
        <f>IF(OR(Tracker!$A53="",Tracker!Q53="",Tracker!$I53="",Tracker!$J53=""),"",IF(Tracker!$H53="Higher",IF(Tracker!Q53&gt;=Tracker!$I53,"G",IF(Tracker!Q53&gt;=Tracker!$J53,"A","R")),IF(Tracker!Q53&lt;=Tracker!$I53,"G",IF(Tracker!Q53&lt;=Tracker!$J53,"A","R"))))</f>
        <v/>
      </c>
      <c r="H53" s="35" t="str">
        <f>IF(OR(Tracker!$A53="",Tracker!R53="",Tracker!$I53="",Tracker!$J53=""),"",IF(Tracker!$H53="Higher",IF(Tracker!R53&gt;=Tracker!$I53,"G",IF(Tracker!R53&gt;=Tracker!$J53,"A","R")),IF(Tracker!R53&lt;=Tracker!$I53,"G",IF(Tracker!R53&lt;=Tracker!$J53,"A","R"))))</f>
        <v/>
      </c>
      <c r="I53" s="35" t="str">
        <f>IF(OR(Tracker!$A53="",Tracker!S53="",Tracker!$I53="",Tracker!$J53=""),"",IF(Tracker!$H53="Higher",IF(Tracker!S53&gt;=Tracker!$I53,"G",IF(Tracker!S53&gt;=Tracker!$J53,"A","R")),IF(Tracker!S53&lt;=Tracker!$I53,"G",IF(Tracker!S53&lt;=Tracker!$J53,"A","R"))))</f>
        <v/>
      </c>
      <c r="J53" s="35" t="str">
        <f>IF(OR(Tracker!$A53="",Tracker!T53="",Tracker!$I53="",Tracker!$J53=""),"",IF(Tracker!$H53="Higher",IF(Tracker!T53&gt;=Tracker!$I53,"G",IF(Tracker!T53&gt;=Tracker!$J53,"A","R")),IF(Tracker!T53&lt;=Tracker!$I53,"G",IF(Tracker!T53&lt;=Tracker!$J53,"A","R"))))</f>
        <v/>
      </c>
      <c r="K53" s="35" t="str">
        <f>IF(OR(Tracker!$A53="",Tracker!U53="",Tracker!$I53="",Tracker!$J53=""),"",IF(Tracker!$H53="Higher",IF(Tracker!U53&gt;=Tracker!$I53,"G",IF(Tracker!U53&gt;=Tracker!$J53,"A","R")),IF(Tracker!U53&lt;=Tracker!$I53,"G",IF(Tracker!U53&lt;=Tracker!$J53,"A","R"))))</f>
        <v/>
      </c>
      <c r="L53" s="35" t="str">
        <f>IF(OR(Tracker!$A53="",Tracker!V53="",Tracker!$I53="",Tracker!$J53=""),"",IF(Tracker!$H53="Higher",IF(Tracker!V53&gt;=Tracker!$I53,"G",IF(Tracker!V53&gt;=Tracker!$J53,"A","R")),IF(Tracker!V53&lt;=Tracker!$I53,"G",IF(Tracker!V53&lt;=Tracker!$J53,"A","R"))))</f>
        <v/>
      </c>
      <c r="M53" s="35" t="str">
        <f>IF(OR(Tracker!$A53="",Tracker!W53="",Tracker!$I53="",Tracker!$J53=""),"",IF(Tracker!$H53="Higher",IF(Tracker!W53&gt;=Tracker!$I53,"G",IF(Tracker!W53&gt;=Tracker!$J53,"A","R")),IF(Tracker!W53&lt;=Tracker!$I53,"G",IF(Tracker!W53&lt;=Tracker!$J53,"A","R"))))</f>
        <v/>
      </c>
    </row>
    <row r="54" spans="1:13" x14ac:dyDescent="0.45">
      <c r="A54" s="15" t="str">
        <f>Tracker!A54</f>
        <v/>
      </c>
      <c r="B54" s="35" t="str">
        <f>IF(OR(Tracker!$A54="",Tracker!L54="",Tracker!$I54="",Tracker!$J54=""),"",IF(Tracker!$H54="Higher",IF(Tracker!L54&gt;=Tracker!$I54,"G",IF(Tracker!L54&gt;=Tracker!$J54,"A","R")),IF(Tracker!L54&lt;=Tracker!$I54,"G",IF(Tracker!L54&lt;=Tracker!$J54,"A","R"))))</f>
        <v/>
      </c>
      <c r="C54" s="35" t="str">
        <f>IF(OR(Tracker!$A54="",Tracker!M54="",Tracker!$I54="",Tracker!$J54=""),"",IF(Tracker!$H54="Higher",IF(Tracker!M54&gt;=Tracker!$I54,"G",IF(Tracker!M54&gt;=Tracker!$J54,"A","R")),IF(Tracker!M54&lt;=Tracker!$I54,"G",IF(Tracker!M54&lt;=Tracker!$J54,"A","R"))))</f>
        <v/>
      </c>
      <c r="D54" s="35" t="str">
        <f>IF(OR(Tracker!$A54="",Tracker!N54="",Tracker!$I54="",Tracker!$J54=""),"",IF(Tracker!$H54="Higher",IF(Tracker!N54&gt;=Tracker!$I54,"G",IF(Tracker!N54&gt;=Tracker!$J54,"A","R")),IF(Tracker!N54&lt;=Tracker!$I54,"G",IF(Tracker!N54&lt;=Tracker!$J54,"A","R"))))</f>
        <v/>
      </c>
      <c r="E54" s="35" t="str">
        <f>IF(OR(Tracker!$A54="",Tracker!O54="",Tracker!$I54="",Tracker!$J54=""),"",IF(Tracker!$H54="Higher",IF(Tracker!O54&gt;=Tracker!$I54,"G",IF(Tracker!O54&gt;=Tracker!$J54,"A","R")),IF(Tracker!O54&lt;=Tracker!$I54,"G",IF(Tracker!O54&lt;=Tracker!$J54,"A","R"))))</f>
        <v/>
      </c>
      <c r="F54" s="35" t="str">
        <f>IF(OR(Tracker!$A54="",Tracker!P54="",Tracker!$I54="",Tracker!$J54=""),"",IF(Tracker!$H54="Higher",IF(Tracker!P54&gt;=Tracker!$I54,"G",IF(Tracker!P54&gt;=Tracker!$J54,"A","R")),IF(Tracker!P54&lt;=Tracker!$I54,"G",IF(Tracker!P54&lt;=Tracker!$J54,"A","R"))))</f>
        <v/>
      </c>
      <c r="G54" s="35" t="str">
        <f>IF(OR(Tracker!$A54="",Tracker!Q54="",Tracker!$I54="",Tracker!$J54=""),"",IF(Tracker!$H54="Higher",IF(Tracker!Q54&gt;=Tracker!$I54,"G",IF(Tracker!Q54&gt;=Tracker!$J54,"A","R")),IF(Tracker!Q54&lt;=Tracker!$I54,"G",IF(Tracker!Q54&lt;=Tracker!$J54,"A","R"))))</f>
        <v/>
      </c>
      <c r="H54" s="35" t="str">
        <f>IF(OR(Tracker!$A54="",Tracker!R54="",Tracker!$I54="",Tracker!$J54=""),"",IF(Tracker!$H54="Higher",IF(Tracker!R54&gt;=Tracker!$I54,"G",IF(Tracker!R54&gt;=Tracker!$J54,"A","R")),IF(Tracker!R54&lt;=Tracker!$I54,"G",IF(Tracker!R54&lt;=Tracker!$J54,"A","R"))))</f>
        <v/>
      </c>
      <c r="I54" s="35" t="str">
        <f>IF(OR(Tracker!$A54="",Tracker!S54="",Tracker!$I54="",Tracker!$J54=""),"",IF(Tracker!$H54="Higher",IF(Tracker!S54&gt;=Tracker!$I54,"G",IF(Tracker!S54&gt;=Tracker!$J54,"A","R")),IF(Tracker!S54&lt;=Tracker!$I54,"G",IF(Tracker!S54&lt;=Tracker!$J54,"A","R"))))</f>
        <v/>
      </c>
      <c r="J54" s="35" t="str">
        <f>IF(OR(Tracker!$A54="",Tracker!T54="",Tracker!$I54="",Tracker!$J54=""),"",IF(Tracker!$H54="Higher",IF(Tracker!T54&gt;=Tracker!$I54,"G",IF(Tracker!T54&gt;=Tracker!$J54,"A","R")),IF(Tracker!T54&lt;=Tracker!$I54,"G",IF(Tracker!T54&lt;=Tracker!$J54,"A","R"))))</f>
        <v/>
      </c>
      <c r="K54" s="35" t="str">
        <f>IF(OR(Tracker!$A54="",Tracker!U54="",Tracker!$I54="",Tracker!$J54=""),"",IF(Tracker!$H54="Higher",IF(Tracker!U54&gt;=Tracker!$I54,"G",IF(Tracker!U54&gt;=Tracker!$J54,"A","R")),IF(Tracker!U54&lt;=Tracker!$I54,"G",IF(Tracker!U54&lt;=Tracker!$J54,"A","R"))))</f>
        <v/>
      </c>
      <c r="L54" s="35" t="str">
        <f>IF(OR(Tracker!$A54="",Tracker!V54="",Tracker!$I54="",Tracker!$J54=""),"",IF(Tracker!$H54="Higher",IF(Tracker!V54&gt;=Tracker!$I54,"G",IF(Tracker!V54&gt;=Tracker!$J54,"A","R")),IF(Tracker!V54&lt;=Tracker!$I54,"G",IF(Tracker!V54&lt;=Tracker!$J54,"A","R"))))</f>
        <v/>
      </c>
      <c r="M54" s="35" t="str">
        <f>IF(OR(Tracker!$A54="",Tracker!W54="",Tracker!$I54="",Tracker!$J54=""),"",IF(Tracker!$H54="Higher",IF(Tracker!W54&gt;=Tracker!$I54,"G",IF(Tracker!W54&gt;=Tracker!$J54,"A","R")),IF(Tracker!W54&lt;=Tracker!$I54,"G",IF(Tracker!W54&lt;=Tracker!$J54,"A","R"))))</f>
        <v/>
      </c>
    </row>
    <row r="55" spans="1:13" x14ac:dyDescent="0.45">
      <c r="A55" s="15" t="str">
        <f>Tracker!A55</f>
        <v/>
      </c>
      <c r="B55" s="35" t="str">
        <f>IF(OR(Tracker!$A55="",Tracker!L55="",Tracker!$I55="",Tracker!$J55=""),"",IF(Tracker!$H55="Higher",IF(Tracker!L55&gt;=Tracker!$I55,"G",IF(Tracker!L55&gt;=Tracker!$J55,"A","R")),IF(Tracker!L55&lt;=Tracker!$I55,"G",IF(Tracker!L55&lt;=Tracker!$J55,"A","R"))))</f>
        <v/>
      </c>
      <c r="C55" s="35" t="str">
        <f>IF(OR(Tracker!$A55="",Tracker!M55="",Tracker!$I55="",Tracker!$J55=""),"",IF(Tracker!$H55="Higher",IF(Tracker!M55&gt;=Tracker!$I55,"G",IF(Tracker!M55&gt;=Tracker!$J55,"A","R")),IF(Tracker!M55&lt;=Tracker!$I55,"G",IF(Tracker!M55&lt;=Tracker!$J55,"A","R"))))</f>
        <v/>
      </c>
      <c r="D55" s="35" t="str">
        <f>IF(OR(Tracker!$A55="",Tracker!N55="",Tracker!$I55="",Tracker!$J55=""),"",IF(Tracker!$H55="Higher",IF(Tracker!N55&gt;=Tracker!$I55,"G",IF(Tracker!N55&gt;=Tracker!$J55,"A","R")),IF(Tracker!N55&lt;=Tracker!$I55,"G",IF(Tracker!N55&lt;=Tracker!$J55,"A","R"))))</f>
        <v/>
      </c>
      <c r="E55" s="35" t="str">
        <f>IF(OR(Tracker!$A55="",Tracker!O55="",Tracker!$I55="",Tracker!$J55=""),"",IF(Tracker!$H55="Higher",IF(Tracker!O55&gt;=Tracker!$I55,"G",IF(Tracker!O55&gt;=Tracker!$J55,"A","R")),IF(Tracker!O55&lt;=Tracker!$I55,"G",IF(Tracker!O55&lt;=Tracker!$J55,"A","R"))))</f>
        <v/>
      </c>
      <c r="F55" s="35" t="str">
        <f>IF(OR(Tracker!$A55="",Tracker!P55="",Tracker!$I55="",Tracker!$J55=""),"",IF(Tracker!$H55="Higher",IF(Tracker!P55&gt;=Tracker!$I55,"G",IF(Tracker!P55&gt;=Tracker!$J55,"A","R")),IF(Tracker!P55&lt;=Tracker!$I55,"G",IF(Tracker!P55&lt;=Tracker!$J55,"A","R"))))</f>
        <v/>
      </c>
      <c r="G55" s="35" t="str">
        <f>IF(OR(Tracker!$A55="",Tracker!Q55="",Tracker!$I55="",Tracker!$J55=""),"",IF(Tracker!$H55="Higher",IF(Tracker!Q55&gt;=Tracker!$I55,"G",IF(Tracker!Q55&gt;=Tracker!$J55,"A","R")),IF(Tracker!Q55&lt;=Tracker!$I55,"G",IF(Tracker!Q55&lt;=Tracker!$J55,"A","R"))))</f>
        <v/>
      </c>
      <c r="H55" s="35" t="str">
        <f>IF(OR(Tracker!$A55="",Tracker!R55="",Tracker!$I55="",Tracker!$J55=""),"",IF(Tracker!$H55="Higher",IF(Tracker!R55&gt;=Tracker!$I55,"G",IF(Tracker!R55&gt;=Tracker!$J55,"A","R")),IF(Tracker!R55&lt;=Tracker!$I55,"G",IF(Tracker!R55&lt;=Tracker!$J55,"A","R"))))</f>
        <v/>
      </c>
      <c r="I55" s="35" t="str">
        <f>IF(OR(Tracker!$A55="",Tracker!S55="",Tracker!$I55="",Tracker!$J55=""),"",IF(Tracker!$H55="Higher",IF(Tracker!S55&gt;=Tracker!$I55,"G",IF(Tracker!S55&gt;=Tracker!$J55,"A","R")),IF(Tracker!S55&lt;=Tracker!$I55,"G",IF(Tracker!S55&lt;=Tracker!$J55,"A","R"))))</f>
        <v/>
      </c>
      <c r="J55" s="35" t="str">
        <f>IF(OR(Tracker!$A55="",Tracker!T55="",Tracker!$I55="",Tracker!$J55=""),"",IF(Tracker!$H55="Higher",IF(Tracker!T55&gt;=Tracker!$I55,"G",IF(Tracker!T55&gt;=Tracker!$J55,"A","R")),IF(Tracker!T55&lt;=Tracker!$I55,"G",IF(Tracker!T55&lt;=Tracker!$J55,"A","R"))))</f>
        <v/>
      </c>
      <c r="K55" s="35" t="str">
        <f>IF(OR(Tracker!$A55="",Tracker!U55="",Tracker!$I55="",Tracker!$J55=""),"",IF(Tracker!$H55="Higher",IF(Tracker!U55&gt;=Tracker!$I55,"G",IF(Tracker!U55&gt;=Tracker!$J55,"A","R")),IF(Tracker!U55&lt;=Tracker!$I55,"G",IF(Tracker!U55&lt;=Tracker!$J55,"A","R"))))</f>
        <v/>
      </c>
      <c r="L55" s="35" t="str">
        <f>IF(OR(Tracker!$A55="",Tracker!V55="",Tracker!$I55="",Tracker!$J55=""),"",IF(Tracker!$H55="Higher",IF(Tracker!V55&gt;=Tracker!$I55,"G",IF(Tracker!V55&gt;=Tracker!$J55,"A","R")),IF(Tracker!V55&lt;=Tracker!$I55,"G",IF(Tracker!V55&lt;=Tracker!$J55,"A","R"))))</f>
        <v/>
      </c>
      <c r="M55" s="35" t="str">
        <f>IF(OR(Tracker!$A55="",Tracker!W55="",Tracker!$I55="",Tracker!$J55=""),"",IF(Tracker!$H55="Higher",IF(Tracker!W55&gt;=Tracker!$I55,"G",IF(Tracker!W55&gt;=Tracker!$J55,"A","R")),IF(Tracker!W55&lt;=Tracker!$I55,"G",IF(Tracker!W55&lt;=Tracker!$J55,"A","R"))))</f>
        <v/>
      </c>
    </row>
    <row r="56" spans="1:13" x14ac:dyDescent="0.45">
      <c r="A56" s="15" t="str">
        <f>Tracker!A56</f>
        <v/>
      </c>
      <c r="B56" s="35" t="str">
        <f>IF(OR(Tracker!$A56="",Tracker!L56="",Tracker!$I56="",Tracker!$J56=""),"",IF(Tracker!$H56="Higher",IF(Tracker!L56&gt;=Tracker!$I56,"G",IF(Tracker!L56&gt;=Tracker!$J56,"A","R")),IF(Tracker!L56&lt;=Tracker!$I56,"G",IF(Tracker!L56&lt;=Tracker!$J56,"A","R"))))</f>
        <v/>
      </c>
      <c r="C56" s="35" t="str">
        <f>IF(OR(Tracker!$A56="",Tracker!M56="",Tracker!$I56="",Tracker!$J56=""),"",IF(Tracker!$H56="Higher",IF(Tracker!M56&gt;=Tracker!$I56,"G",IF(Tracker!M56&gt;=Tracker!$J56,"A","R")),IF(Tracker!M56&lt;=Tracker!$I56,"G",IF(Tracker!M56&lt;=Tracker!$J56,"A","R"))))</f>
        <v/>
      </c>
      <c r="D56" s="35" t="str">
        <f>IF(OR(Tracker!$A56="",Tracker!N56="",Tracker!$I56="",Tracker!$J56=""),"",IF(Tracker!$H56="Higher",IF(Tracker!N56&gt;=Tracker!$I56,"G",IF(Tracker!N56&gt;=Tracker!$J56,"A","R")),IF(Tracker!N56&lt;=Tracker!$I56,"G",IF(Tracker!N56&lt;=Tracker!$J56,"A","R"))))</f>
        <v/>
      </c>
      <c r="E56" s="35" t="str">
        <f>IF(OR(Tracker!$A56="",Tracker!O56="",Tracker!$I56="",Tracker!$J56=""),"",IF(Tracker!$H56="Higher",IF(Tracker!O56&gt;=Tracker!$I56,"G",IF(Tracker!O56&gt;=Tracker!$J56,"A","R")),IF(Tracker!O56&lt;=Tracker!$I56,"G",IF(Tracker!O56&lt;=Tracker!$J56,"A","R"))))</f>
        <v/>
      </c>
      <c r="F56" s="35" t="str">
        <f>IF(OR(Tracker!$A56="",Tracker!P56="",Tracker!$I56="",Tracker!$J56=""),"",IF(Tracker!$H56="Higher",IF(Tracker!P56&gt;=Tracker!$I56,"G",IF(Tracker!P56&gt;=Tracker!$J56,"A","R")),IF(Tracker!P56&lt;=Tracker!$I56,"G",IF(Tracker!P56&lt;=Tracker!$J56,"A","R"))))</f>
        <v/>
      </c>
      <c r="G56" s="35" t="str">
        <f>IF(OR(Tracker!$A56="",Tracker!Q56="",Tracker!$I56="",Tracker!$J56=""),"",IF(Tracker!$H56="Higher",IF(Tracker!Q56&gt;=Tracker!$I56,"G",IF(Tracker!Q56&gt;=Tracker!$J56,"A","R")),IF(Tracker!Q56&lt;=Tracker!$I56,"G",IF(Tracker!Q56&lt;=Tracker!$J56,"A","R"))))</f>
        <v/>
      </c>
      <c r="H56" s="35" t="str">
        <f>IF(OR(Tracker!$A56="",Tracker!R56="",Tracker!$I56="",Tracker!$J56=""),"",IF(Tracker!$H56="Higher",IF(Tracker!R56&gt;=Tracker!$I56,"G",IF(Tracker!R56&gt;=Tracker!$J56,"A","R")),IF(Tracker!R56&lt;=Tracker!$I56,"G",IF(Tracker!R56&lt;=Tracker!$J56,"A","R"))))</f>
        <v/>
      </c>
      <c r="I56" s="35" t="str">
        <f>IF(OR(Tracker!$A56="",Tracker!S56="",Tracker!$I56="",Tracker!$J56=""),"",IF(Tracker!$H56="Higher",IF(Tracker!S56&gt;=Tracker!$I56,"G",IF(Tracker!S56&gt;=Tracker!$J56,"A","R")),IF(Tracker!S56&lt;=Tracker!$I56,"G",IF(Tracker!S56&lt;=Tracker!$J56,"A","R"))))</f>
        <v/>
      </c>
      <c r="J56" s="35" t="str">
        <f>IF(OR(Tracker!$A56="",Tracker!T56="",Tracker!$I56="",Tracker!$J56=""),"",IF(Tracker!$H56="Higher",IF(Tracker!T56&gt;=Tracker!$I56,"G",IF(Tracker!T56&gt;=Tracker!$J56,"A","R")),IF(Tracker!T56&lt;=Tracker!$I56,"G",IF(Tracker!T56&lt;=Tracker!$J56,"A","R"))))</f>
        <v/>
      </c>
      <c r="K56" s="35" t="str">
        <f>IF(OR(Tracker!$A56="",Tracker!U56="",Tracker!$I56="",Tracker!$J56=""),"",IF(Tracker!$H56="Higher",IF(Tracker!U56&gt;=Tracker!$I56,"G",IF(Tracker!U56&gt;=Tracker!$J56,"A","R")),IF(Tracker!U56&lt;=Tracker!$I56,"G",IF(Tracker!U56&lt;=Tracker!$J56,"A","R"))))</f>
        <v/>
      </c>
      <c r="L56" s="35" t="str">
        <f>IF(OR(Tracker!$A56="",Tracker!V56="",Tracker!$I56="",Tracker!$J56=""),"",IF(Tracker!$H56="Higher",IF(Tracker!V56&gt;=Tracker!$I56,"G",IF(Tracker!V56&gt;=Tracker!$J56,"A","R")),IF(Tracker!V56&lt;=Tracker!$I56,"G",IF(Tracker!V56&lt;=Tracker!$J56,"A","R"))))</f>
        <v/>
      </c>
      <c r="M56" s="35" t="str">
        <f>IF(OR(Tracker!$A56="",Tracker!W56="",Tracker!$I56="",Tracker!$J56=""),"",IF(Tracker!$H56="Higher",IF(Tracker!W56&gt;=Tracker!$I56,"G",IF(Tracker!W56&gt;=Tracker!$J56,"A","R")),IF(Tracker!W56&lt;=Tracker!$I56,"G",IF(Tracker!W56&lt;=Tracker!$J56,"A","R"))))</f>
        <v/>
      </c>
    </row>
    <row r="57" spans="1:13" x14ac:dyDescent="0.45">
      <c r="A57" s="15" t="str">
        <f>Tracker!A57</f>
        <v/>
      </c>
      <c r="B57" s="35" t="str">
        <f>IF(OR(Tracker!$A57="",Tracker!L57="",Tracker!$I57="",Tracker!$J57=""),"",IF(Tracker!$H57="Higher",IF(Tracker!L57&gt;=Tracker!$I57,"G",IF(Tracker!L57&gt;=Tracker!$J57,"A","R")),IF(Tracker!L57&lt;=Tracker!$I57,"G",IF(Tracker!L57&lt;=Tracker!$J57,"A","R"))))</f>
        <v/>
      </c>
      <c r="C57" s="35" t="str">
        <f>IF(OR(Tracker!$A57="",Tracker!M57="",Tracker!$I57="",Tracker!$J57=""),"",IF(Tracker!$H57="Higher",IF(Tracker!M57&gt;=Tracker!$I57,"G",IF(Tracker!M57&gt;=Tracker!$J57,"A","R")),IF(Tracker!M57&lt;=Tracker!$I57,"G",IF(Tracker!M57&lt;=Tracker!$J57,"A","R"))))</f>
        <v/>
      </c>
      <c r="D57" s="35" t="str">
        <f>IF(OR(Tracker!$A57="",Tracker!N57="",Tracker!$I57="",Tracker!$J57=""),"",IF(Tracker!$H57="Higher",IF(Tracker!N57&gt;=Tracker!$I57,"G",IF(Tracker!N57&gt;=Tracker!$J57,"A","R")),IF(Tracker!N57&lt;=Tracker!$I57,"G",IF(Tracker!N57&lt;=Tracker!$J57,"A","R"))))</f>
        <v/>
      </c>
      <c r="E57" s="35" t="str">
        <f>IF(OR(Tracker!$A57="",Tracker!O57="",Tracker!$I57="",Tracker!$J57=""),"",IF(Tracker!$H57="Higher",IF(Tracker!O57&gt;=Tracker!$I57,"G",IF(Tracker!O57&gt;=Tracker!$J57,"A","R")),IF(Tracker!O57&lt;=Tracker!$I57,"G",IF(Tracker!O57&lt;=Tracker!$J57,"A","R"))))</f>
        <v/>
      </c>
      <c r="F57" s="35" t="str">
        <f>IF(OR(Tracker!$A57="",Tracker!P57="",Tracker!$I57="",Tracker!$J57=""),"",IF(Tracker!$H57="Higher",IF(Tracker!P57&gt;=Tracker!$I57,"G",IF(Tracker!P57&gt;=Tracker!$J57,"A","R")),IF(Tracker!P57&lt;=Tracker!$I57,"G",IF(Tracker!P57&lt;=Tracker!$J57,"A","R"))))</f>
        <v/>
      </c>
      <c r="G57" s="35" t="str">
        <f>IF(OR(Tracker!$A57="",Tracker!Q57="",Tracker!$I57="",Tracker!$J57=""),"",IF(Tracker!$H57="Higher",IF(Tracker!Q57&gt;=Tracker!$I57,"G",IF(Tracker!Q57&gt;=Tracker!$J57,"A","R")),IF(Tracker!Q57&lt;=Tracker!$I57,"G",IF(Tracker!Q57&lt;=Tracker!$J57,"A","R"))))</f>
        <v/>
      </c>
      <c r="H57" s="35" t="str">
        <f>IF(OR(Tracker!$A57="",Tracker!R57="",Tracker!$I57="",Tracker!$J57=""),"",IF(Tracker!$H57="Higher",IF(Tracker!R57&gt;=Tracker!$I57,"G",IF(Tracker!R57&gt;=Tracker!$J57,"A","R")),IF(Tracker!R57&lt;=Tracker!$I57,"G",IF(Tracker!R57&lt;=Tracker!$J57,"A","R"))))</f>
        <v/>
      </c>
      <c r="I57" s="35" t="str">
        <f>IF(OR(Tracker!$A57="",Tracker!S57="",Tracker!$I57="",Tracker!$J57=""),"",IF(Tracker!$H57="Higher",IF(Tracker!S57&gt;=Tracker!$I57,"G",IF(Tracker!S57&gt;=Tracker!$J57,"A","R")),IF(Tracker!S57&lt;=Tracker!$I57,"G",IF(Tracker!S57&lt;=Tracker!$J57,"A","R"))))</f>
        <v/>
      </c>
      <c r="J57" s="35" t="str">
        <f>IF(OR(Tracker!$A57="",Tracker!T57="",Tracker!$I57="",Tracker!$J57=""),"",IF(Tracker!$H57="Higher",IF(Tracker!T57&gt;=Tracker!$I57,"G",IF(Tracker!T57&gt;=Tracker!$J57,"A","R")),IF(Tracker!T57&lt;=Tracker!$I57,"G",IF(Tracker!T57&lt;=Tracker!$J57,"A","R"))))</f>
        <v/>
      </c>
      <c r="K57" s="35" t="str">
        <f>IF(OR(Tracker!$A57="",Tracker!U57="",Tracker!$I57="",Tracker!$J57=""),"",IF(Tracker!$H57="Higher",IF(Tracker!U57&gt;=Tracker!$I57,"G",IF(Tracker!U57&gt;=Tracker!$J57,"A","R")),IF(Tracker!U57&lt;=Tracker!$I57,"G",IF(Tracker!U57&lt;=Tracker!$J57,"A","R"))))</f>
        <v/>
      </c>
      <c r="L57" s="35" t="str">
        <f>IF(OR(Tracker!$A57="",Tracker!V57="",Tracker!$I57="",Tracker!$J57=""),"",IF(Tracker!$H57="Higher",IF(Tracker!V57&gt;=Tracker!$I57,"G",IF(Tracker!V57&gt;=Tracker!$J57,"A","R")),IF(Tracker!V57&lt;=Tracker!$I57,"G",IF(Tracker!V57&lt;=Tracker!$J57,"A","R"))))</f>
        <v/>
      </c>
      <c r="M57" s="35" t="str">
        <f>IF(OR(Tracker!$A57="",Tracker!W57="",Tracker!$I57="",Tracker!$J57=""),"",IF(Tracker!$H57="Higher",IF(Tracker!W57&gt;=Tracker!$I57,"G",IF(Tracker!W57&gt;=Tracker!$J57,"A","R")),IF(Tracker!W57&lt;=Tracker!$I57,"G",IF(Tracker!W57&lt;=Tracker!$J57,"A","R"))))</f>
        <v/>
      </c>
    </row>
    <row r="58" spans="1:13" x14ac:dyDescent="0.45">
      <c r="A58" s="15" t="str">
        <f>Tracker!A58</f>
        <v/>
      </c>
      <c r="B58" s="35" t="str">
        <f>IF(OR(Tracker!$A58="",Tracker!L58="",Tracker!$I58="",Tracker!$J58=""),"",IF(Tracker!$H58="Higher",IF(Tracker!L58&gt;=Tracker!$I58,"G",IF(Tracker!L58&gt;=Tracker!$J58,"A","R")),IF(Tracker!L58&lt;=Tracker!$I58,"G",IF(Tracker!L58&lt;=Tracker!$J58,"A","R"))))</f>
        <v/>
      </c>
      <c r="C58" s="35" t="str">
        <f>IF(OR(Tracker!$A58="",Tracker!M58="",Tracker!$I58="",Tracker!$J58=""),"",IF(Tracker!$H58="Higher",IF(Tracker!M58&gt;=Tracker!$I58,"G",IF(Tracker!M58&gt;=Tracker!$J58,"A","R")),IF(Tracker!M58&lt;=Tracker!$I58,"G",IF(Tracker!M58&lt;=Tracker!$J58,"A","R"))))</f>
        <v/>
      </c>
      <c r="D58" s="35" t="str">
        <f>IF(OR(Tracker!$A58="",Tracker!N58="",Tracker!$I58="",Tracker!$J58=""),"",IF(Tracker!$H58="Higher",IF(Tracker!N58&gt;=Tracker!$I58,"G",IF(Tracker!N58&gt;=Tracker!$J58,"A","R")),IF(Tracker!N58&lt;=Tracker!$I58,"G",IF(Tracker!N58&lt;=Tracker!$J58,"A","R"))))</f>
        <v/>
      </c>
      <c r="E58" s="35" t="str">
        <f>IF(OR(Tracker!$A58="",Tracker!O58="",Tracker!$I58="",Tracker!$J58=""),"",IF(Tracker!$H58="Higher",IF(Tracker!O58&gt;=Tracker!$I58,"G",IF(Tracker!O58&gt;=Tracker!$J58,"A","R")),IF(Tracker!O58&lt;=Tracker!$I58,"G",IF(Tracker!O58&lt;=Tracker!$J58,"A","R"))))</f>
        <v/>
      </c>
      <c r="F58" s="35" t="str">
        <f>IF(OR(Tracker!$A58="",Tracker!P58="",Tracker!$I58="",Tracker!$J58=""),"",IF(Tracker!$H58="Higher",IF(Tracker!P58&gt;=Tracker!$I58,"G",IF(Tracker!P58&gt;=Tracker!$J58,"A","R")),IF(Tracker!P58&lt;=Tracker!$I58,"G",IF(Tracker!P58&lt;=Tracker!$J58,"A","R"))))</f>
        <v/>
      </c>
      <c r="G58" s="35" t="str">
        <f>IF(OR(Tracker!$A58="",Tracker!Q58="",Tracker!$I58="",Tracker!$J58=""),"",IF(Tracker!$H58="Higher",IF(Tracker!Q58&gt;=Tracker!$I58,"G",IF(Tracker!Q58&gt;=Tracker!$J58,"A","R")),IF(Tracker!Q58&lt;=Tracker!$I58,"G",IF(Tracker!Q58&lt;=Tracker!$J58,"A","R"))))</f>
        <v/>
      </c>
      <c r="H58" s="35" t="str">
        <f>IF(OR(Tracker!$A58="",Tracker!R58="",Tracker!$I58="",Tracker!$J58=""),"",IF(Tracker!$H58="Higher",IF(Tracker!R58&gt;=Tracker!$I58,"G",IF(Tracker!R58&gt;=Tracker!$J58,"A","R")),IF(Tracker!R58&lt;=Tracker!$I58,"G",IF(Tracker!R58&lt;=Tracker!$J58,"A","R"))))</f>
        <v/>
      </c>
      <c r="I58" s="35" t="str">
        <f>IF(OR(Tracker!$A58="",Tracker!S58="",Tracker!$I58="",Tracker!$J58=""),"",IF(Tracker!$H58="Higher",IF(Tracker!S58&gt;=Tracker!$I58,"G",IF(Tracker!S58&gt;=Tracker!$J58,"A","R")),IF(Tracker!S58&lt;=Tracker!$I58,"G",IF(Tracker!S58&lt;=Tracker!$J58,"A","R"))))</f>
        <v/>
      </c>
      <c r="J58" s="35" t="str">
        <f>IF(OR(Tracker!$A58="",Tracker!T58="",Tracker!$I58="",Tracker!$J58=""),"",IF(Tracker!$H58="Higher",IF(Tracker!T58&gt;=Tracker!$I58,"G",IF(Tracker!T58&gt;=Tracker!$J58,"A","R")),IF(Tracker!T58&lt;=Tracker!$I58,"G",IF(Tracker!T58&lt;=Tracker!$J58,"A","R"))))</f>
        <v/>
      </c>
      <c r="K58" s="35" t="str">
        <f>IF(OR(Tracker!$A58="",Tracker!U58="",Tracker!$I58="",Tracker!$J58=""),"",IF(Tracker!$H58="Higher",IF(Tracker!U58&gt;=Tracker!$I58,"G",IF(Tracker!U58&gt;=Tracker!$J58,"A","R")),IF(Tracker!U58&lt;=Tracker!$I58,"G",IF(Tracker!U58&lt;=Tracker!$J58,"A","R"))))</f>
        <v/>
      </c>
      <c r="L58" s="35" t="str">
        <f>IF(OR(Tracker!$A58="",Tracker!V58="",Tracker!$I58="",Tracker!$J58=""),"",IF(Tracker!$H58="Higher",IF(Tracker!V58&gt;=Tracker!$I58,"G",IF(Tracker!V58&gt;=Tracker!$J58,"A","R")),IF(Tracker!V58&lt;=Tracker!$I58,"G",IF(Tracker!V58&lt;=Tracker!$J58,"A","R"))))</f>
        <v/>
      </c>
      <c r="M58" s="35" t="str">
        <f>IF(OR(Tracker!$A58="",Tracker!W58="",Tracker!$I58="",Tracker!$J58=""),"",IF(Tracker!$H58="Higher",IF(Tracker!W58&gt;=Tracker!$I58,"G",IF(Tracker!W58&gt;=Tracker!$J58,"A","R")),IF(Tracker!W58&lt;=Tracker!$I58,"G",IF(Tracker!W58&lt;=Tracker!$J58,"A","R"))))</f>
        <v/>
      </c>
    </row>
    <row r="59" spans="1:13" x14ac:dyDescent="0.45">
      <c r="A59" s="15" t="str">
        <f>Tracker!A59</f>
        <v/>
      </c>
      <c r="B59" s="35" t="str">
        <f>IF(OR(Tracker!$A59="",Tracker!L59="",Tracker!$I59="",Tracker!$J59=""),"",IF(Tracker!$H59="Higher",IF(Tracker!L59&gt;=Tracker!$I59,"G",IF(Tracker!L59&gt;=Tracker!$J59,"A","R")),IF(Tracker!L59&lt;=Tracker!$I59,"G",IF(Tracker!L59&lt;=Tracker!$J59,"A","R"))))</f>
        <v/>
      </c>
      <c r="C59" s="35" t="str">
        <f>IF(OR(Tracker!$A59="",Tracker!M59="",Tracker!$I59="",Tracker!$J59=""),"",IF(Tracker!$H59="Higher",IF(Tracker!M59&gt;=Tracker!$I59,"G",IF(Tracker!M59&gt;=Tracker!$J59,"A","R")),IF(Tracker!M59&lt;=Tracker!$I59,"G",IF(Tracker!M59&lt;=Tracker!$J59,"A","R"))))</f>
        <v/>
      </c>
      <c r="D59" s="35" t="str">
        <f>IF(OR(Tracker!$A59="",Tracker!N59="",Tracker!$I59="",Tracker!$J59=""),"",IF(Tracker!$H59="Higher",IF(Tracker!N59&gt;=Tracker!$I59,"G",IF(Tracker!N59&gt;=Tracker!$J59,"A","R")),IF(Tracker!N59&lt;=Tracker!$I59,"G",IF(Tracker!N59&lt;=Tracker!$J59,"A","R"))))</f>
        <v/>
      </c>
      <c r="E59" s="35" t="str">
        <f>IF(OR(Tracker!$A59="",Tracker!O59="",Tracker!$I59="",Tracker!$J59=""),"",IF(Tracker!$H59="Higher",IF(Tracker!O59&gt;=Tracker!$I59,"G",IF(Tracker!O59&gt;=Tracker!$J59,"A","R")),IF(Tracker!O59&lt;=Tracker!$I59,"G",IF(Tracker!O59&lt;=Tracker!$J59,"A","R"))))</f>
        <v/>
      </c>
      <c r="F59" s="35" t="str">
        <f>IF(OR(Tracker!$A59="",Tracker!P59="",Tracker!$I59="",Tracker!$J59=""),"",IF(Tracker!$H59="Higher",IF(Tracker!P59&gt;=Tracker!$I59,"G",IF(Tracker!P59&gt;=Tracker!$J59,"A","R")),IF(Tracker!P59&lt;=Tracker!$I59,"G",IF(Tracker!P59&lt;=Tracker!$J59,"A","R"))))</f>
        <v/>
      </c>
      <c r="G59" s="35" t="str">
        <f>IF(OR(Tracker!$A59="",Tracker!Q59="",Tracker!$I59="",Tracker!$J59=""),"",IF(Tracker!$H59="Higher",IF(Tracker!Q59&gt;=Tracker!$I59,"G",IF(Tracker!Q59&gt;=Tracker!$J59,"A","R")),IF(Tracker!Q59&lt;=Tracker!$I59,"G",IF(Tracker!Q59&lt;=Tracker!$J59,"A","R"))))</f>
        <v/>
      </c>
      <c r="H59" s="35" t="str">
        <f>IF(OR(Tracker!$A59="",Tracker!R59="",Tracker!$I59="",Tracker!$J59=""),"",IF(Tracker!$H59="Higher",IF(Tracker!R59&gt;=Tracker!$I59,"G",IF(Tracker!R59&gt;=Tracker!$J59,"A","R")),IF(Tracker!R59&lt;=Tracker!$I59,"G",IF(Tracker!R59&lt;=Tracker!$J59,"A","R"))))</f>
        <v/>
      </c>
      <c r="I59" s="35" t="str">
        <f>IF(OR(Tracker!$A59="",Tracker!S59="",Tracker!$I59="",Tracker!$J59=""),"",IF(Tracker!$H59="Higher",IF(Tracker!S59&gt;=Tracker!$I59,"G",IF(Tracker!S59&gt;=Tracker!$J59,"A","R")),IF(Tracker!S59&lt;=Tracker!$I59,"G",IF(Tracker!S59&lt;=Tracker!$J59,"A","R"))))</f>
        <v/>
      </c>
      <c r="J59" s="35" t="str">
        <f>IF(OR(Tracker!$A59="",Tracker!T59="",Tracker!$I59="",Tracker!$J59=""),"",IF(Tracker!$H59="Higher",IF(Tracker!T59&gt;=Tracker!$I59,"G",IF(Tracker!T59&gt;=Tracker!$J59,"A","R")),IF(Tracker!T59&lt;=Tracker!$I59,"G",IF(Tracker!T59&lt;=Tracker!$J59,"A","R"))))</f>
        <v/>
      </c>
      <c r="K59" s="35" t="str">
        <f>IF(OR(Tracker!$A59="",Tracker!U59="",Tracker!$I59="",Tracker!$J59=""),"",IF(Tracker!$H59="Higher",IF(Tracker!U59&gt;=Tracker!$I59,"G",IF(Tracker!U59&gt;=Tracker!$J59,"A","R")),IF(Tracker!U59&lt;=Tracker!$I59,"G",IF(Tracker!U59&lt;=Tracker!$J59,"A","R"))))</f>
        <v/>
      </c>
      <c r="L59" s="35" t="str">
        <f>IF(OR(Tracker!$A59="",Tracker!V59="",Tracker!$I59="",Tracker!$J59=""),"",IF(Tracker!$H59="Higher",IF(Tracker!V59&gt;=Tracker!$I59,"G",IF(Tracker!V59&gt;=Tracker!$J59,"A","R")),IF(Tracker!V59&lt;=Tracker!$I59,"G",IF(Tracker!V59&lt;=Tracker!$J59,"A","R"))))</f>
        <v/>
      </c>
      <c r="M59" s="35" t="str">
        <f>IF(OR(Tracker!$A59="",Tracker!W59="",Tracker!$I59="",Tracker!$J59=""),"",IF(Tracker!$H59="Higher",IF(Tracker!W59&gt;=Tracker!$I59,"G",IF(Tracker!W59&gt;=Tracker!$J59,"A","R")),IF(Tracker!W59&lt;=Tracker!$I59,"G",IF(Tracker!W59&lt;=Tracker!$J59,"A","R"))))</f>
        <v/>
      </c>
    </row>
    <row r="60" spans="1:13" x14ac:dyDescent="0.45">
      <c r="A60" s="15" t="str">
        <f>Tracker!A60</f>
        <v/>
      </c>
      <c r="B60" s="35" t="str">
        <f>IF(OR(Tracker!$A60="",Tracker!L60="",Tracker!$I60="",Tracker!$J60=""),"",IF(Tracker!$H60="Higher",IF(Tracker!L60&gt;=Tracker!$I60,"G",IF(Tracker!L60&gt;=Tracker!$J60,"A","R")),IF(Tracker!L60&lt;=Tracker!$I60,"G",IF(Tracker!L60&lt;=Tracker!$J60,"A","R"))))</f>
        <v/>
      </c>
      <c r="C60" s="35" t="str">
        <f>IF(OR(Tracker!$A60="",Tracker!M60="",Tracker!$I60="",Tracker!$J60=""),"",IF(Tracker!$H60="Higher",IF(Tracker!M60&gt;=Tracker!$I60,"G",IF(Tracker!M60&gt;=Tracker!$J60,"A","R")),IF(Tracker!M60&lt;=Tracker!$I60,"G",IF(Tracker!M60&lt;=Tracker!$J60,"A","R"))))</f>
        <v/>
      </c>
      <c r="D60" s="35" t="str">
        <f>IF(OR(Tracker!$A60="",Tracker!N60="",Tracker!$I60="",Tracker!$J60=""),"",IF(Tracker!$H60="Higher",IF(Tracker!N60&gt;=Tracker!$I60,"G",IF(Tracker!N60&gt;=Tracker!$J60,"A","R")),IF(Tracker!N60&lt;=Tracker!$I60,"G",IF(Tracker!N60&lt;=Tracker!$J60,"A","R"))))</f>
        <v/>
      </c>
      <c r="E60" s="35" t="str">
        <f>IF(OR(Tracker!$A60="",Tracker!O60="",Tracker!$I60="",Tracker!$J60=""),"",IF(Tracker!$H60="Higher",IF(Tracker!O60&gt;=Tracker!$I60,"G",IF(Tracker!O60&gt;=Tracker!$J60,"A","R")),IF(Tracker!O60&lt;=Tracker!$I60,"G",IF(Tracker!O60&lt;=Tracker!$J60,"A","R"))))</f>
        <v/>
      </c>
      <c r="F60" s="35" t="str">
        <f>IF(OR(Tracker!$A60="",Tracker!P60="",Tracker!$I60="",Tracker!$J60=""),"",IF(Tracker!$H60="Higher",IF(Tracker!P60&gt;=Tracker!$I60,"G",IF(Tracker!P60&gt;=Tracker!$J60,"A","R")),IF(Tracker!P60&lt;=Tracker!$I60,"G",IF(Tracker!P60&lt;=Tracker!$J60,"A","R"))))</f>
        <v/>
      </c>
      <c r="G60" s="35" t="str">
        <f>IF(OR(Tracker!$A60="",Tracker!Q60="",Tracker!$I60="",Tracker!$J60=""),"",IF(Tracker!$H60="Higher",IF(Tracker!Q60&gt;=Tracker!$I60,"G",IF(Tracker!Q60&gt;=Tracker!$J60,"A","R")),IF(Tracker!Q60&lt;=Tracker!$I60,"G",IF(Tracker!Q60&lt;=Tracker!$J60,"A","R"))))</f>
        <v/>
      </c>
      <c r="H60" s="35" t="str">
        <f>IF(OR(Tracker!$A60="",Tracker!R60="",Tracker!$I60="",Tracker!$J60=""),"",IF(Tracker!$H60="Higher",IF(Tracker!R60&gt;=Tracker!$I60,"G",IF(Tracker!R60&gt;=Tracker!$J60,"A","R")),IF(Tracker!R60&lt;=Tracker!$I60,"G",IF(Tracker!R60&lt;=Tracker!$J60,"A","R"))))</f>
        <v/>
      </c>
      <c r="I60" s="35" t="str">
        <f>IF(OR(Tracker!$A60="",Tracker!S60="",Tracker!$I60="",Tracker!$J60=""),"",IF(Tracker!$H60="Higher",IF(Tracker!S60&gt;=Tracker!$I60,"G",IF(Tracker!S60&gt;=Tracker!$J60,"A","R")),IF(Tracker!S60&lt;=Tracker!$I60,"G",IF(Tracker!S60&lt;=Tracker!$J60,"A","R"))))</f>
        <v/>
      </c>
      <c r="J60" s="35" t="str">
        <f>IF(OR(Tracker!$A60="",Tracker!T60="",Tracker!$I60="",Tracker!$J60=""),"",IF(Tracker!$H60="Higher",IF(Tracker!T60&gt;=Tracker!$I60,"G",IF(Tracker!T60&gt;=Tracker!$J60,"A","R")),IF(Tracker!T60&lt;=Tracker!$I60,"G",IF(Tracker!T60&lt;=Tracker!$J60,"A","R"))))</f>
        <v/>
      </c>
      <c r="K60" s="35" t="str">
        <f>IF(OR(Tracker!$A60="",Tracker!U60="",Tracker!$I60="",Tracker!$J60=""),"",IF(Tracker!$H60="Higher",IF(Tracker!U60&gt;=Tracker!$I60,"G",IF(Tracker!U60&gt;=Tracker!$J60,"A","R")),IF(Tracker!U60&lt;=Tracker!$I60,"G",IF(Tracker!U60&lt;=Tracker!$J60,"A","R"))))</f>
        <v/>
      </c>
      <c r="L60" s="35" t="str">
        <f>IF(OR(Tracker!$A60="",Tracker!V60="",Tracker!$I60="",Tracker!$J60=""),"",IF(Tracker!$H60="Higher",IF(Tracker!V60&gt;=Tracker!$I60,"G",IF(Tracker!V60&gt;=Tracker!$J60,"A","R")),IF(Tracker!V60&lt;=Tracker!$I60,"G",IF(Tracker!V60&lt;=Tracker!$J60,"A","R"))))</f>
        <v/>
      </c>
      <c r="M60" s="35" t="str">
        <f>IF(OR(Tracker!$A60="",Tracker!W60="",Tracker!$I60="",Tracker!$J60=""),"",IF(Tracker!$H60="Higher",IF(Tracker!W60&gt;=Tracker!$I60,"G",IF(Tracker!W60&gt;=Tracker!$J60,"A","R")),IF(Tracker!W60&lt;=Tracker!$I60,"G",IF(Tracker!W60&lt;=Tracker!$J60,"A","R"))))</f>
        <v/>
      </c>
    </row>
    <row r="61" spans="1:13" x14ac:dyDescent="0.45">
      <c r="A61" s="15" t="str">
        <f>Tracker!A61</f>
        <v/>
      </c>
      <c r="B61" s="35" t="str">
        <f>IF(OR(Tracker!$A61="",Tracker!L61="",Tracker!$I61="",Tracker!$J61=""),"",IF(Tracker!$H61="Higher",IF(Tracker!L61&gt;=Tracker!$I61,"G",IF(Tracker!L61&gt;=Tracker!$J61,"A","R")),IF(Tracker!L61&lt;=Tracker!$I61,"G",IF(Tracker!L61&lt;=Tracker!$J61,"A","R"))))</f>
        <v/>
      </c>
      <c r="C61" s="35" t="str">
        <f>IF(OR(Tracker!$A61="",Tracker!M61="",Tracker!$I61="",Tracker!$J61=""),"",IF(Tracker!$H61="Higher",IF(Tracker!M61&gt;=Tracker!$I61,"G",IF(Tracker!M61&gt;=Tracker!$J61,"A","R")),IF(Tracker!M61&lt;=Tracker!$I61,"G",IF(Tracker!M61&lt;=Tracker!$J61,"A","R"))))</f>
        <v/>
      </c>
      <c r="D61" s="35" t="str">
        <f>IF(OR(Tracker!$A61="",Tracker!N61="",Tracker!$I61="",Tracker!$J61=""),"",IF(Tracker!$H61="Higher",IF(Tracker!N61&gt;=Tracker!$I61,"G",IF(Tracker!N61&gt;=Tracker!$J61,"A","R")),IF(Tracker!N61&lt;=Tracker!$I61,"G",IF(Tracker!N61&lt;=Tracker!$J61,"A","R"))))</f>
        <v/>
      </c>
      <c r="E61" s="35" t="str">
        <f>IF(OR(Tracker!$A61="",Tracker!O61="",Tracker!$I61="",Tracker!$J61=""),"",IF(Tracker!$H61="Higher",IF(Tracker!O61&gt;=Tracker!$I61,"G",IF(Tracker!O61&gt;=Tracker!$J61,"A","R")),IF(Tracker!O61&lt;=Tracker!$I61,"G",IF(Tracker!O61&lt;=Tracker!$J61,"A","R"))))</f>
        <v/>
      </c>
      <c r="F61" s="35" t="str">
        <f>IF(OR(Tracker!$A61="",Tracker!P61="",Tracker!$I61="",Tracker!$J61=""),"",IF(Tracker!$H61="Higher",IF(Tracker!P61&gt;=Tracker!$I61,"G",IF(Tracker!P61&gt;=Tracker!$J61,"A","R")),IF(Tracker!P61&lt;=Tracker!$I61,"G",IF(Tracker!P61&lt;=Tracker!$J61,"A","R"))))</f>
        <v/>
      </c>
      <c r="G61" s="35" t="str">
        <f>IF(OR(Tracker!$A61="",Tracker!Q61="",Tracker!$I61="",Tracker!$J61=""),"",IF(Tracker!$H61="Higher",IF(Tracker!Q61&gt;=Tracker!$I61,"G",IF(Tracker!Q61&gt;=Tracker!$J61,"A","R")),IF(Tracker!Q61&lt;=Tracker!$I61,"G",IF(Tracker!Q61&lt;=Tracker!$J61,"A","R"))))</f>
        <v/>
      </c>
      <c r="H61" s="35" t="str">
        <f>IF(OR(Tracker!$A61="",Tracker!R61="",Tracker!$I61="",Tracker!$J61=""),"",IF(Tracker!$H61="Higher",IF(Tracker!R61&gt;=Tracker!$I61,"G",IF(Tracker!R61&gt;=Tracker!$J61,"A","R")),IF(Tracker!R61&lt;=Tracker!$I61,"G",IF(Tracker!R61&lt;=Tracker!$J61,"A","R"))))</f>
        <v/>
      </c>
      <c r="I61" s="35" t="str">
        <f>IF(OR(Tracker!$A61="",Tracker!S61="",Tracker!$I61="",Tracker!$J61=""),"",IF(Tracker!$H61="Higher",IF(Tracker!S61&gt;=Tracker!$I61,"G",IF(Tracker!S61&gt;=Tracker!$J61,"A","R")),IF(Tracker!S61&lt;=Tracker!$I61,"G",IF(Tracker!S61&lt;=Tracker!$J61,"A","R"))))</f>
        <v/>
      </c>
      <c r="J61" s="35" t="str">
        <f>IF(OR(Tracker!$A61="",Tracker!T61="",Tracker!$I61="",Tracker!$J61=""),"",IF(Tracker!$H61="Higher",IF(Tracker!T61&gt;=Tracker!$I61,"G",IF(Tracker!T61&gt;=Tracker!$J61,"A","R")),IF(Tracker!T61&lt;=Tracker!$I61,"G",IF(Tracker!T61&lt;=Tracker!$J61,"A","R"))))</f>
        <v/>
      </c>
      <c r="K61" s="35" t="str">
        <f>IF(OR(Tracker!$A61="",Tracker!U61="",Tracker!$I61="",Tracker!$J61=""),"",IF(Tracker!$H61="Higher",IF(Tracker!U61&gt;=Tracker!$I61,"G",IF(Tracker!U61&gt;=Tracker!$J61,"A","R")),IF(Tracker!U61&lt;=Tracker!$I61,"G",IF(Tracker!U61&lt;=Tracker!$J61,"A","R"))))</f>
        <v/>
      </c>
      <c r="L61" s="35" t="str">
        <f>IF(OR(Tracker!$A61="",Tracker!V61="",Tracker!$I61="",Tracker!$J61=""),"",IF(Tracker!$H61="Higher",IF(Tracker!V61&gt;=Tracker!$I61,"G",IF(Tracker!V61&gt;=Tracker!$J61,"A","R")),IF(Tracker!V61&lt;=Tracker!$I61,"G",IF(Tracker!V61&lt;=Tracker!$J61,"A","R"))))</f>
        <v/>
      </c>
      <c r="M61" s="35" t="str">
        <f>IF(OR(Tracker!$A61="",Tracker!W61="",Tracker!$I61="",Tracker!$J61=""),"",IF(Tracker!$H61="Higher",IF(Tracker!W61&gt;=Tracker!$I61,"G",IF(Tracker!W61&gt;=Tracker!$J61,"A","R")),IF(Tracker!W61&lt;=Tracker!$I61,"G",IF(Tracker!W61&lt;=Tracker!$J61,"A","R"))))</f>
        <v/>
      </c>
    </row>
    <row r="62" spans="1:13" x14ac:dyDescent="0.45">
      <c r="A62" s="15" t="str">
        <f>Tracker!A62</f>
        <v/>
      </c>
      <c r="B62" s="35" t="str">
        <f>IF(OR(Tracker!$A62="",Tracker!L62="",Tracker!$I62="",Tracker!$J62=""),"",IF(Tracker!$H62="Higher",IF(Tracker!L62&gt;=Tracker!$I62,"G",IF(Tracker!L62&gt;=Tracker!$J62,"A","R")),IF(Tracker!L62&lt;=Tracker!$I62,"G",IF(Tracker!L62&lt;=Tracker!$J62,"A","R"))))</f>
        <v/>
      </c>
      <c r="C62" s="35" t="str">
        <f>IF(OR(Tracker!$A62="",Tracker!M62="",Tracker!$I62="",Tracker!$J62=""),"",IF(Tracker!$H62="Higher",IF(Tracker!M62&gt;=Tracker!$I62,"G",IF(Tracker!M62&gt;=Tracker!$J62,"A","R")),IF(Tracker!M62&lt;=Tracker!$I62,"G",IF(Tracker!M62&lt;=Tracker!$J62,"A","R"))))</f>
        <v/>
      </c>
      <c r="D62" s="35" t="str">
        <f>IF(OR(Tracker!$A62="",Tracker!N62="",Tracker!$I62="",Tracker!$J62=""),"",IF(Tracker!$H62="Higher",IF(Tracker!N62&gt;=Tracker!$I62,"G",IF(Tracker!N62&gt;=Tracker!$J62,"A","R")),IF(Tracker!N62&lt;=Tracker!$I62,"G",IF(Tracker!N62&lt;=Tracker!$J62,"A","R"))))</f>
        <v/>
      </c>
      <c r="E62" s="35" t="str">
        <f>IF(OR(Tracker!$A62="",Tracker!O62="",Tracker!$I62="",Tracker!$J62=""),"",IF(Tracker!$H62="Higher",IF(Tracker!O62&gt;=Tracker!$I62,"G",IF(Tracker!O62&gt;=Tracker!$J62,"A","R")),IF(Tracker!O62&lt;=Tracker!$I62,"G",IF(Tracker!O62&lt;=Tracker!$J62,"A","R"))))</f>
        <v/>
      </c>
      <c r="F62" s="35" t="str">
        <f>IF(OR(Tracker!$A62="",Tracker!P62="",Tracker!$I62="",Tracker!$J62=""),"",IF(Tracker!$H62="Higher",IF(Tracker!P62&gt;=Tracker!$I62,"G",IF(Tracker!P62&gt;=Tracker!$J62,"A","R")),IF(Tracker!P62&lt;=Tracker!$I62,"G",IF(Tracker!P62&lt;=Tracker!$J62,"A","R"))))</f>
        <v/>
      </c>
      <c r="G62" s="35" t="str">
        <f>IF(OR(Tracker!$A62="",Tracker!Q62="",Tracker!$I62="",Tracker!$J62=""),"",IF(Tracker!$H62="Higher",IF(Tracker!Q62&gt;=Tracker!$I62,"G",IF(Tracker!Q62&gt;=Tracker!$J62,"A","R")),IF(Tracker!Q62&lt;=Tracker!$I62,"G",IF(Tracker!Q62&lt;=Tracker!$J62,"A","R"))))</f>
        <v/>
      </c>
      <c r="H62" s="35" t="str">
        <f>IF(OR(Tracker!$A62="",Tracker!R62="",Tracker!$I62="",Tracker!$J62=""),"",IF(Tracker!$H62="Higher",IF(Tracker!R62&gt;=Tracker!$I62,"G",IF(Tracker!R62&gt;=Tracker!$J62,"A","R")),IF(Tracker!R62&lt;=Tracker!$I62,"G",IF(Tracker!R62&lt;=Tracker!$J62,"A","R"))))</f>
        <v/>
      </c>
      <c r="I62" s="35" t="str">
        <f>IF(OR(Tracker!$A62="",Tracker!S62="",Tracker!$I62="",Tracker!$J62=""),"",IF(Tracker!$H62="Higher",IF(Tracker!S62&gt;=Tracker!$I62,"G",IF(Tracker!S62&gt;=Tracker!$J62,"A","R")),IF(Tracker!S62&lt;=Tracker!$I62,"G",IF(Tracker!S62&lt;=Tracker!$J62,"A","R"))))</f>
        <v/>
      </c>
      <c r="J62" s="35" t="str">
        <f>IF(OR(Tracker!$A62="",Tracker!T62="",Tracker!$I62="",Tracker!$J62=""),"",IF(Tracker!$H62="Higher",IF(Tracker!T62&gt;=Tracker!$I62,"G",IF(Tracker!T62&gt;=Tracker!$J62,"A","R")),IF(Tracker!T62&lt;=Tracker!$I62,"G",IF(Tracker!T62&lt;=Tracker!$J62,"A","R"))))</f>
        <v/>
      </c>
      <c r="K62" s="35" t="str">
        <f>IF(OR(Tracker!$A62="",Tracker!U62="",Tracker!$I62="",Tracker!$J62=""),"",IF(Tracker!$H62="Higher",IF(Tracker!U62&gt;=Tracker!$I62,"G",IF(Tracker!U62&gt;=Tracker!$J62,"A","R")),IF(Tracker!U62&lt;=Tracker!$I62,"G",IF(Tracker!U62&lt;=Tracker!$J62,"A","R"))))</f>
        <v/>
      </c>
      <c r="L62" s="35" t="str">
        <f>IF(OR(Tracker!$A62="",Tracker!V62="",Tracker!$I62="",Tracker!$J62=""),"",IF(Tracker!$H62="Higher",IF(Tracker!V62&gt;=Tracker!$I62,"G",IF(Tracker!V62&gt;=Tracker!$J62,"A","R")),IF(Tracker!V62&lt;=Tracker!$I62,"G",IF(Tracker!V62&lt;=Tracker!$J62,"A","R"))))</f>
        <v/>
      </c>
      <c r="M62" s="35" t="str">
        <f>IF(OR(Tracker!$A62="",Tracker!W62="",Tracker!$I62="",Tracker!$J62=""),"",IF(Tracker!$H62="Higher",IF(Tracker!W62&gt;=Tracker!$I62,"G",IF(Tracker!W62&gt;=Tracker!$J62,"A","R")),IF(Tracker!W62&lt;=Tracker!$I62,"G",IF(Tracker!W62&lt;=Tracker!$J62,"A","R"))))</f>
        <v/>
      </c>
    </row>
    <row r="63" spans="1:13" x14ac:dyDescent="0.45">
      <c r="A63" s="15" t="str">
        <f>Tracker!A63</f>
        <v/>
      </c>
      <c r="B63" s="35" t="str">
        <f>IF(OR(Tracker!$A63="",Tracker!L63="",Tracker!$I63="",Tracker!$J63=""),"",IF(Tracker!$H63="Higher",IF(Tracker!L63&gt;=Tracker!$I63,"G",IF(Tracker!L63&gt;=Tracker!$J63,"A","R")),IF(Tracker!L63&lt;=Tracker!$I63,"G",IF(Tracker!L63&lt;=Tracker!$J63,"A","R"))))</f>
        <v/>
      </c>
      <c r="C63" s="35" t="str">
        <f>IF(OR(Tracker!$A63="",Tracker!M63="",Tracker!$I63="",Tracker!$J63=""),"",IF(Tracker!$H63="Higher",IF(Tracker!M63&gt;=Tracker!$I63,"G",IF(Tracker!M63&gt;=Tracker!$J63,"A","R")),IF(Tracker!M63&lt;=Tracker!$I63,"G",IF(Tracker!M63&lt;=Tracker!$J63,"A","R"))))</f>
        <v/>
      </c>
      <c r="D63" s="35" t="str">
        <f>IF(OR(Tracker!$A63="",Tracker!N63="",Tracker!$I63="",Tracker!$J63=""),"",IF(Tracker!$H63="Higher",IF(Tracker!N63&gt;=Tracker!$I63,"G",IF(Tracker!N63&gt;=Tracker!$J63,"A","R")),IF(Tracker!N63&lt;=Tracker!$I63,"G",IF(Tracker!N63&lt;=Tracker!$J63,"A","R"))))</f>
        <v/>
      </c>
      <c r="E63" s="35" t="str">
        <f>IF(OR(Tracker!$A63="",Tracker!O63="",Tracker!$I63="",Tracker!$J63=""),"",IF(Tracker!$H63="Higher",IF(Tracker!O63&gt;=Tracker!$I63,"G",IF(Tracker!O63&gt;=Tracker!$J63,"A","R")),IF(Tracker!O63&lt;=Tracker!$I63,"G",IF(Tracker!O63&lt;=Tracker!$J63,"A","R"))))</f>
        <v/>
      </c>
      <c r="F63" s="35" t="str">
        <f>IF(OR(Tracker!$A63="",Tracker!P63="",Tracker!$I63="",Tracker!$J63=""),"",IF(Tracker!$H63="Higher",IF(Tracker!P63&gt;=Tracker!$I63,"G",IF(Tracker!P63&gt;=Tracker!$J63,"A","R")),IF(Tracker!P63&lt;=Tracker!$I63,"G",IF(Tracker!P63&lt;=Tracker!$J63,"A","R"))))</f>
        <v/>
      </c>
      <c r="G63" s="35" t="str">
        <f>IF(OR(Tracker!$A63="",Tracker!Q63="",Tracker!$I63="",Tracker!$J63=""),"",IF(Tracker!$H63="Higher",IF(Tracker!Q63&gt;=Tracker!$I63,"G",IF(Tracker!Q63&gt;=Tracker!$J63,"A","R")),IF(Tracker!Q63&lt;=Tracker!$I63,"G",IF(Tracker!Q63&lt;=Tracker!$J63,"A","R"))))</f>
        <v/>
      </c>
      <c r="H63" s="35" t="str">
        <f>IF(OR(Tracker!$A63="",Tracker!R63="",Tracker!$I63="",Tracker!$J63=""),"",IF(Tracker!$H63="Higher",IF(Tracker!R63&gt;=Tracker!$I63,"G",IF(Tracker!R63&gt;=Tracker!$J63,"A","R")),IF(Tracker!R63&lt;=Tracker!$I63,"G",IF(Tracker!R63&lt;=Tracker!$J63,"A","R"))))</f>
        <v/>
      </c>
      <c r="I63" s="35" t="str">
        <f>IF(OR(Tracker!$A63="",Tracker!S63="",Tracker!$I63="",Tracker!$J63=""),"",IF(Tracker!$H63="Higher",IF(Tracker!S63&gt;=Tracker!$I63,"G",IF(Tracker!S63&gt;=Tracker!$J63,"A","R")),IF(Tracker!S63&lt;=Tracker!$I63,"G",IF(Tracker!S63&lt;=Tracker!$J63,"A","R"))))</f>
        <v/>
      </c>
      <c r="J63" s="35" t="str">
        <f>IF(OR(Tracker!$A63="",Tracker!T63="",Tracker!$I63="",Tracker!$J63=""),"",IF(Tracker!$H63="Higher",IF(Tracker!T63&gt;=Tracker!$I63,"G",IF(Tracker!T63&gt;=Tracker!$J63,"A","R")),IF(Tracker!T63&lt;=Tracker!$I63,"G",IF(Tracker!T63&lt;=Tracker!$J63,"A","R"))))</f>
        <v/>
      </c>
      <c r="K63" s="35" t="str">
        <f>IF(OR(Tracker!$A63="",Tracker!U63="",Tracker!$I63="",Tracker!$J63=""),"",IF(Tracker!$H63="Higher",IF(Tracker!U63&gt;=Tracker!$I63,"G",IF(Tracker!U63&gt;=Tracker!$J63,"A","R")),IF(Tracker!U63&lt;=Tracker!$I63,"G",IF(Tracker!U63&lt;=Tracker!$J63,"A","R"))))</f>
        <v/>
      </c>
      <c r="L63" s="35" t="str">
        <f>IF(OR(Tracker!$A63="",Tracker!V63="",Tracker!$I63="",Tracker!$J63=""),"",IF(Tracker!$H63="Higher",IF(Tracker!V63&gt;=Tracker!$I63,"G",IF(Tracker!V63&gt;=Tracker!$J63,"A","R")),IF(Tracker!V63&lt;=Tracker!$I63,"G",IF(Tracker!V63&lt;=Tracker!$J63,"A","R"))))</f>
        <v/>
      </c>
      <c r="M63" s="35" t="str">
        <f>IF(OR(Tracker!$A63="",Tracker!W63="",Tracker!$I63="",Tracker!$J63=""),"",IF(Tracker!$H63="Higher",IF(Tracker!W63&gt;=Tracker!$I63,"G",IF(Tracker!W63&gt;=Tracker!$J63,"A","R")),IF(Tracker!W63&lt;=Tracker!$I63,"G",IF(Tracker!W63&lt;=Tracker!$J63,"A","R"))))</f>
        <v/>
      </c>
    </row>
    <row r="64" spans="1:13" x14ac:dyDescent="0.45">
      <c r="A64" s="15" t="str">
        <f>Tracker!A64</f>
        <v/>
      </c>
      <c r="B64" s="35" t="str">
        <f>IF(OR(Tracker!$A64="",Tracker!L64="",Tracker!$I64="",Tracker!$J64=""),"",IF(Tracker!$H64="Higher",IF(Tracker!L64&gt;=Tracker!$I64,"G",IF(Tracker!L64&gt;=Tracker!$J64,"A","R")),IF(Tracker!L64&lt;=Tracker!$I64,"G",IF(Tracker!L64&lt;=Tracker!$J64,"A","R"))))</f>
        <v/>
      </c>
      <c r="C64" s="35" t="str">
        <f>IF(OR(Tracker!$A64="",Tracker!M64="",Tracker!$I64="",Tracker!$J64=""),"",IF(Tracker!$H64="Higher",IF(Tracker!M64&gt;=Tracker!$I64,"G",IF(Tracker!M64&gt;=Tracker!$J64,"A","R")),IF(Tracker!M64&lt;=Tracker!$I64,"G",IF(Tracker!M64&lt;=Tracker!$J64,"A","R"))))</f>
        <v/>
      </c>
      <c r="D64" s="35" t="str">
        <f>IF(OR(Tracker!$A64="",Tracker!N64="",Tracker!$I64="",Tracker!$J64=""),"",IF(Tracker!$H64="Higher",IF(Tracker!N64&gt;=Tracker!$I64,"G",IF(Tracker!N64&gt;=Tracker!$J64,"A","R")),IF(Tracker!N64&lt;=Tracker!$I64,"G",IF(Tracker!N64&lt;=Tracker!$J64,"A","R"))))</f>
        <v/>
      </c>
      <c r="E64" s="35" t="str">
        <f>IF(OR(Tracker!$A64="",Tracker!O64="",Tracker!$I64="",Tracker!$J64=""),"",IF(Tracker!$H64="Higher",IF(Tracker!O64&gt;=Tracker!$I64,"G",IF(Tracker!O64&gt;=Tracker!$J64,"A","R")),IF(Tracker!O64&lt;=Tracker!$I64,"G",IF(Tracker!O64&lt;=Tracker!$J64,"A","R"))))</f>
        <v/>
      </c>
      <c r="F64" s="35" t="str">
        <f>IF(OR(Tracker!$A64="",Tracker!P64="",Tracker!$I64="",Tracker!$J64=""),"",IF(Tracker!$H64="Higher",IF(Tracker!P64&gt;=Tracker!$I64,"G",IF(Tracker!P64&gt;=Tracker!$J64,"A","R")),IF(Tracker!P64&lt;=Tracker!$I64,"G",IF(Tracker!P64&lt;=Tracker!$J64,"A","R"))))</f>
        <v/>
      </c>
      <c r="G64" s="35" t="str">
        <f>IF(OR(Tracker!$A64="",Tracker!Q64="",Tracker!$I64="",Tracker!$J64=""),"",IF(Tracker!$H64="Higher",IF(Tracker!Q64&gt;=Tracker!$I64,"G",IF(Tracker!Q64&gt;=Tracker!$J64,"A","R")),IF(Tracker!Q64&lt;=Tracker!$I64,"G",IF(Tracker!Q64&lt;=Tracker!$J64,"A","R"))))</f>
        <v/>
      </c>
      <c r="H64" s="35" t="str">
        <f>IF(OR(Tracker!$A64="",Tracker!R64="",Tracker!$I64="",Tracker!$J64=""),"",IF(Tracker!$H64="Higher",IF(Tracker!R64&gt;=Tracker!$I64,"G",IF(Tracker!R64&gt;=Tracker!$J64,"A","R")),IF(Tracker!R64&lt;=Tracker!$I64,"G",IF(Tracker!R64&lt;=Tracker!$J64,"A","R"))))</f>
        <v/>
      </c>
      <c r="I64" s="35" t="str">
        <f>IF(OR(Tracker!$A64="",Tracker!S64="",Tracker!$I64="",Tracker!$J64=""),"",IF(Tracker!$H64="Higher",IF(Tracker!S64&gt;=Tracker!$I64,"G",IF(Tracker!S64&gt;=Tracker!$J64,"A","R")),IF(Tracker!S64&lt;=Tracker!$I64,"G",IF(Tracker!S64&lt;=Tracker!$J64,"A","R"))))</f>
        <v/>
      </c>
      <c r="J64" s="35" t="str">
        <f>IF(OR(Tracker!$A64="",Tracker!T64="",Tracker!$I64="",Tracker!$J64=""),"",IF(Tracker!$H64="Higher",IF(Tracker!T64&gt;=Tracker!$I64,"G",IF(Tracker!T64&gt;=Tracker!$J64,"A","R")),IF(Tracker!T64&lt;=Tracker!$I64,"G",IF(Tracker!T64&lt;=Tracker!$J64,"A","R"))))</f>
        <v/>
      </c>
      <c r="K64" s="35" t="str">
        <f>IF(OR(Tracker!$A64="",Tracker!U64="",Tracker!$I64="",Tracker!$J64=""),"",IF(Tracker!$H64="Higher",IF(Tracker!U64&gt;=Tracker!$I64,"G",IF(Tracker!U64&gt;=Tracker!$J64,"A","R")),IF(Tracker!U64&lt;=Tracker!$I64,"G",IF(Tracker!U64&lt;=Tracker!$J64,"A","R"))))</f>
        <v/>
      </c>
      <c r="L64" s="35" t="str">
        <f>IF(OR(Tracker!$A64="",Tracker!V64="",Tracker!$I64="",Tracker!$J64=""),"",IF(Tracker!$H64="Higher",IF(Tracker!V64&gt;=Tracker!$I64,"G",IF(Tracker!V64&gt;=Tracker!$J64,"A","R")),IF(Tracker!V64&lt;=Tracker!$I64,"G",IF(Tracker!V64&lt;=Tracker!$J64,"A","R"))))</f>
        <v/>
      </c>
      <c r="M64" s="35" t="str">
        <f>IF(OR(Tracker!$A64="",Tracker!W64="",Tracker!$I64="",Tracker!$J64=""),"",IF(Tracker!$H64="Higher",IF(Tracker!W64&gt;=Tracker!$I64,"G",IF(Tracker!W64&gt;=Tracker!$J64,"A","R")),IF(Tracker!W64&lt;=Tracker!$I64,"G",IF(Tracker!W64&lt;=Tracker!$J64,"A","R"))))</f>
        <v/>
      </c>
    </row>
    <row r="65" spans="1:13" x14ac:dyDescent="0.45">
      <c r="A65" s="15" t="str">
        <f>Tracker!A65</f>
        <v/>
      </c>
      <c r="B65" s="35" t="str">
        <f>IF(OR(Tracker!$A65="",Tracker!L65="",Tracker!$I65="",Tracker!$J65=""),"",IF(Tracker!$H65="Higher",IF(Tracker!L65&gt;=Tracker!$I65,"G",IF(Tracker!L65&gt;=Tracker!$J65,"A","R")),IF(Tracker!L65&lt;=Tracker!$I65,"G",IF(Tracker!L65&lt;=Tracker!$J65,"A","R"))))</f>
        <v/>
      </c>
      <c r="C65" s="35" t="str">
        <f>IF(OR(Tracker!$A65="",Tracker!M65="",Tracker!$I65="",Tracker!$J65=""),"",IF(Tracker!$H65="Higher",IF(Tracker!M65&gt;=Tracker!$I65,"G",IF(Tracker!M65&gt;=Tracker!$J65,"A","R")),IF(Tracker!M65&lt;=Tracker!$I65,"G",IF(Tracker!M65&lt;=Tracker!$J65,"A","R"))))</f>
        <v/>
      </c>
      <c r="D65" s="35" t="str">
        <f>IF(OR(Tracker!$A65="",Tracker!N65="",Tracker!$I65="",Tracker!$J65=""),"",IF(Tracker!$H65="Higher",IF(Tracker!N65&gt;=Tracker!$I65,"G",IF(Tracker!N65&gt;=Tracker!$J65,"A","R")),IF(Tracker!N65&lt;=Tracker!$I65,"G",IF(Tracker!N65&lt;=Tracker!$J65,"A","R"))))</f>
        <v/>
      </c>
      <c r="E65" s="35" t="str">
        <f>IF(OR(Tracker!$A65="",Tracker!O65="",Tracker!$I65="",Tracker!$J65=""),"",IF(Tracker!$H65="Higher",IF(Tracker!O65&gt;=Tracker!$I65,"G",IF(Tracker!O65&gt;=Tracker!$J65,"A","R")),IF(Tracker!O65&lt;=Tracker!$I65,"G",IF(Tracker!O65&lt;=Tracker!$J65,"A","R"))))</f>
        <v/>
      </c>
      <c r="F65" s="35" t="str">
        <f>IF(OR(Tracker!$A65="",Tracker!P65="",Tracker!$I65="",Tracker!$J65=""),"",IF(Tracker!$H65="Higher",IF(Tracker!P65&gt;=Tracker!$I65,"G",IF(Tracker!P65&gt;=Tracker!$J65,"A","R")),IF(Tracker!P65&lt;=Tracker!$I65,"G",IF(Tracker!P65&lt;=Tracker!$J65,"A","R"))))</f>
        <v/>
      </c>
      <c r="G65" s="35" t="str">
        <f>IF(OR(Tracker!$A65="",Tracker!Q65="",Tracker!$I65="",Tracker!$J65=""),"",IF(Tracker!$H65="Higher",IF(Tracker!Q65&gt;=Tracker!$I65,"G",IF(Tracker!Q65&gt;=Tracker!$J65,"A","R")),IF(Tracker!Q65&lt;=Tracker!$I65,"G",IF(Tracker!Q65&lt;=Tracker!$J65,"A","R"))))</f>
        <v/>
      </c>
      <c r="H65" s="35" t="str">
        <f>IF(OR(Tracker!$A65="",Tracker!R65="",Tracker!$I65="",Tracker!$J65=""),"",IF(Tracker!$H65="Higher",IF(Tracker!R65&gt;=Tracker!$I65,"G",IF(Tracker!R65&gt;=Tracker!$J65,"A","R")),IF(Tracker!R65&lt;=Tracker!$I65,"G",IF(Tracker!R65&lt;=Tracker!$J65,"A","R"))))</f>
        <v/>
      </c>
      <c r="I65" s="35" t="str">
        <f>IF(OR(Tracker!$A65="",Tracker!S65="",Tracker!$I65="",Tracker!$J65=""),"",IF(Tracker!$H65="Higher",IF(Tracker!S65&gt;=Tracker!$I65,"G",IF(Tracker!S65&gt;=Tracker!$J65,"A","R")),IF(Tracker!S65&lt;=Tracker!$I65,"G",IF(Tracker!S65&lt;=Tracker!$J65,"A","R"))))</f>
        <v/>
      </c>
      <c r="J65" s="35" t="str">
        <f>IF(OR(Tracker!$A65="",Tracker!T65="",Tracker!$I65="",Tracker!$J65=""),"",IF(Tracker!$H65="Higher",IF(Tracker!T65&gt;=Tracker!$I65,"G",IF(Tracker!T65&gt;=Tracker!$J65,"A","R")),IF(Tracker!T65&lt;=Tracker!$I65,"G",IF(Tracker!T65&lt;=Tracker!$J65,"A","R"))))</f>
        <v/>
      </c>
      <c r="K65" s="35" t="str">
        <f>IF(OR(Tracker!$A65="",Tracker!U65="",Tracker!$I65="",Tracker!$J65=""),"",IF(Tracker!$H65="Higher",IF(Tracker!U65&gt;=Tracker!$I65,"G",IF(Tracker!U65&gt;=Tracker!$J65,"A","R")),IF(Tracker!U65&lt;=Tracker!$I65,"G",IF(Tracker!U65&lt;=Tracker!$J65,"A","R"))))</f>
        <v/>
      </c>
      <c r="L65" s="35" t="str">
        <f>IF(OR(Tracker!$A65="",Tracker!V65="",Tracker!$I65="",Tracker!$J65=""),"",IF(Tracker!$H65="Higher",IF(Tracker!V65&gt;=Tracker!$I65,"G",IF(Tracker!V65&gt;=Tracker!$J65,"A","R")),IF(Tracker!V65&lt;=Tracker!$I65,"G",IF(Tracker!V65&lt;=Tracker!$J65,"A","R"))))</f>
        <v/>
      </c>
      <c r="M65" s="35" t="str">
        <f>IF(OR(Tracker!$A65="",Tracker!W65="",Tracker!$I65="",Tracker!$J65=""),"",IF(Tracker!$H65="Higher",IF(Tracker!W65&gt;=Tracker!$I65,"G",IF(Tracker!W65&gt;=Tracker!$J65,"A","R")),IF(Tracker!W65&lt;=Tracker!$I65,"G",IF(Tracker!W65&lt;=Tracker!$J65,"A","R"))))</f>
        <v/>
      </c>
    </row>
  </sheetData>
  <conditionalFormatting sqref="B6:M65">
    <cfRule type="cellIs" dxfId="2" priority="2" operator="equal">
      <formula>"G"</formula>
    </cfRule>
    <cfRule type="cellIs" dxfId="1" priority="3" operator="equal">
      <formula>"A"</formula>
    </cfRule>
    <cfRule type="cellIs" dxfId="0" priority="4" operator="equal">
      <formula>"R"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9D3CC"/>
  </sheetPr>
  <dimension ref="A1:H17"/>
  <sheetViews>
    <sheetView showGridLines="0" zoomScaleNormal="100" workbookViewId="0">
      <selection activeCell="A2" sqref="A2"/>
    </sheetView>
  </sheetViews>
  <sheetFormatPr defaultColWidth="8.6640625" defaultRowHeight="14.25" x14ac:dyDescent="0.45"/>
  <cols>
    <col min="1" max="8" width="15" customWidth="1"/>
  </cols>
  <sheetData>
    <row r="1" spans="1:8" ht="20.65" x14ac:dyDescent="0.6">
      <c r="A1" s="11" t="s">
        <v>359</v>
      </c>
    </row>
    <row r="2" spans="1:8" x14ac:dyDescent="0.45">
      <c r="A2" s="12" t="s">
        <v>360</v>
      </c>
    </row>
    <row r="5" spans="1:8" x14ac:dyDescent="0.45">
      <c r="A5" s="71" t="s">
        <v>66</v>
      </c>
      <c r="B5" s="71" t="s">
        <v>83</v>
      </c>
      <c r="C5" s="71" t="s">
        <v>35</v>
      </c>
      <c r="D5" s="71" t="s">
        <v>182</v>
      </c>
      <c r="E5" s="71" t="s">
        <v>186</v>
      </c>
      <c r="F5" s="71" t="s">
        <v>183</v>
      </c>
      <c r="G5" s="71" t="s">
        <v>126</v>
      </c>
      <c r="H5" s="71" t="s">
        <v>361</v>
      </c>
    </row>
    <row r="6" spans="1:8" x14ac:dyDescent="0.45">
      <c r="A6" s="20" t="s">
        <v>68</v>
      </c>
      <c r="B6" s="20" t="s">
        <v>191</v>
      </c>
      <c r="C6" s="20" t="s">
        <v>196</v>
      </c>
      <c r="D6" s="20" t="s">
        <v>202</v>
      </c>
      <c r="E6" s="20" t="s">
        <v>203</v>
      </c>
      <c r="F6" s="20" t="s">
        <v>195</v>
      </c>
      <c r="G6" s="20" t="s">
        <v>131</v>
      </c>
      <c r="H6" s="20" t="s">
        <v>334</v>
      </c>
    </row>
    <row r="7" spans="1:8" x14ac:dyDescent="0.45">
      <c r="A7" s="20" t="s">
        <v>69</v>
      </c>
      <c r="B7" s="20" t="s">
        <v>206</v>
      </c>
      <c r="C7" s="20" t="s">
        <v>209</v>
      </c>
      <c r="D7" s="20" t="s">
        <v>194</v>
      </c>
      <c r="E7" s="20" t="s">
        <v>197</v>
      </c>
      <c r="F7" s="20" t="s">
        <v>282</v>
      </c>
      <c r="G7" s="20" t="s">
        <v>136</v>
      </c>
      <c r="H7" s="20" t="s">
        <v>332</v>
      </c>
    </row>
    <row r="8" spans="1:8" x14ac:dyDescent="0.45">
      <c r="A8" s="20" t="s">
        <v>70</v>
      </c>
      <c r="E8" s="20" t="s">
        <v>244</v>
      </c>
      <c r="F8" s="20" t="s">
        <v>239</v>
      </c>
      <c r="G8" s="20" t="s">
        <v>140</v>
      </c>
    </row>
    <row r="9" spans="1:8" x14ac:dyDescent="0.45">
      <c r="A9" s="20" t="s">
        <v>71</v>
      </c>
      <c r="F9" s="20" t="s">
        <v>268</v>
      </c>
      <c r="G9" s="20" t="s">
        <v>144</v>
      </c>
    </row>
    <row r="10" spans="1:8" x14ac:dyDescent="0.45">
      <c r="A10" s="20" t="s">
        <v>72</v>
      </c>
      <c r="F10" s="20" t="s">
        <v>37</v>
      </c>
      <c r="G10" s="20" t="s">
        <v>148</v>
      </c>
    </row>
    <row r="11" spans="1:8" x14ac:dyDescent="0.45">
      <c r="A11" s="20" t="s">
        <v>73</v>
      </c>
      <c r="F11" s="20" t="s">
        <v>218</v>
      </c>
    </row>
    <row r="12" spans="1:8" x14ac:dyDescent="0.45">
      <c r="A12" s="20" t="s">
        <v>74</v>
      </c>
    </row>
    <row r="13" spans="1:8" x14ac:dyDescent="0.45">
      <c r="A13" s="20" t="s">
        <v>75</v>
      </c>
    </row>
    <row r="14" spans="1:8" x14ac:dyDescent="0.45">
      <c r="A14" s="20" t="s">
        <v>76</v>
      </c>
    </row>
    <row r="15" spans="1:8" x14ac:dyDescent="0.45">
      <c r="A15" s="20" t="s">
        <v>77</v>
      </c>
    </row>
    <row r="16" spans="1:8" x14ac:dyDescent="0.45">
      <c r="A16" s="20" t="s">
        <v>78</v>
      </c>
    </row>
    <row r="17" spans="1:1" x14ac:dyDescent="0.45">
      <c r="A17" s="20" t="s">
        <v>79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 here</vt:lpstr>
      <vt:lpstr>Dashboard</vt:lpstr>
      <vt:lpstr>Department view</vt:lpstr>
      <vt:lpstr>Setup</vt:lpstr>
      <vt:lpstr>Strategy</vt:lpstr>
      <vt:lpstr>Cascade</vt:lpstr>
      <vt:lpstr>Measures</vt:lpstr>
      <vt:lpstr>Tracker</vt:lpstr>
      <vt:lpstr>Actions</vt:lpstr>
      <vt:lpstr>Heatmap</vt:lpstr>
      <vt:lpstr>Review log</vt:lpstr>
      <vt:lpstr>Calc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Ravishankar Agrawal</cp:lastModifiedBy>
  <cp:revision>1</cp:revision>
  <dcterms:created xsi:type="dcterms:W3CDTF">2026-10-18T07:43:53Z</dcterms:created>
  <dcterms:modified xsi:type="dcterms:W3CDTF">2026-10-18T07:55:08Z</dcterms:modified>
  <dc:language>en-US</dc:language>
</cp:coreProperties>
</file>